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7083\Implementation\Updated_spreadsheets\"/>
    </mc:Choice>
  </mc:AlternateContent>
  <xr:revisionPtr revIDLastSave="0" documentId="13_ncr:1_{6378F6CE-B920-451C-BED9-2934333553D8}" xr6:coauthVersionLast="47" xr6:coauthVersionMax="47" xr10:uidLastSave="{00000000-0000-0000-0000-000000000000}"/>
  <bookViews>
    <workbookView xWindow="-108" yWindow="-108" windowWidth="23256" windowHeight="12576" xr2:uid="{BCD4B949-A071-49C5-B2BE-BB74B8A4B0C5}"/>
  </bookViews>
  <sheets>
    <sheet name="Instructions" sheetId="1" r:id="rId1"/>
    <sheet name="Freeways" sheetId="2" r:id="rId2"/>
    <sheet name="Ramps" sheetId="3" r:id="rId3"/>
    <sheet name="Frontage Road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4" i="2" l="1"/>
  <c r="O122" i="2"/>
  <c r="N122" i="2"/>
  <c r="O112" i="2"/>
  <c r="N112" i="2"/>
  <c r="O121" i="2"/>
  <c r="N121" i="2"/>
  <c r="O111" i="2"/>
  <c r="N111" i="2"/>
  <c r="O57" i="5"/>
  <c r="AO47" i="3"/>
  <c r="AO46" i="3"/>
  <c r="AJ47" i="3"/>
  <c r="AJ46" i="3"/>
  <c r="AY49" i="5"/>
  <c r="AY48" i="5"/>
  <c r="BG49" i="5"/>
  <c r="BG48" i="5"/>
  <c r="I19" i="5"/>
  <c r="I18" i="3"/>
  <c r="I22" i="2"/>
  <c r="AV103" i="2"/>
  <c r="AV102" i="2"/>
  <c r="AV100" i="2"/>
  <c r="AV99" i="2"/>
  <c r="AQ103" i="2"/>
  <c r="AQ102" i="2"/>
  <c r="AQ100" i="2"/>
  <c r="AQ99" i="2"/>
  <c r="O72" i="5" l="1"/>
  <c r="N72" i="5"/>
  <c r="O71" i="5"/>
  <c r="N71" i="5"/>
  <c r="O70" i="5"/>
  <c r="N70" i="5"/>
  <c r="O69" i="5"/>
  <c r="N69" i="5"/>
  <c r="O68" i="5"/>
  <c r="N68" i="5"/>
  <c r="O66" i="3"/>
  <c r="N66" i="3"/>
  <c r="O65" i="3"/>
  <c r="N65" i="3"/>
  <c r="O64" i="3"/>
  <c r="N64" i="3"/>
  <c r="O63" i="3"/>
  <c r="N63" i="3"/>
  <c r="O62" i="3"/>
  <c r="N62" i="3"/>
  <c r="AF67" i="2"/>
  <c r="AE67" i="2"/>
  <c r="AD49" i="5" l="1"/>
  <c r="AC49" i="5"/>
  <c r="AV49" i="5" s="1"/>
  <c r="AD48" i="5"/>
  <c r="AC48" i="5"/>
  <c r="AW48" i="5" s="1"/>
  <c r="BE49" i="5" l="1"/>
  <c r="BD49" i="5"/>
  <c r="BC49" i="5"/>
  <c r="BE48" i="5"/>
  <c r="BC48" i="5"/>
  <c r="BD48" i="5"/>
  <c r="AW49" i="5"/>
  <c r="O48" i="5"/>
  <c r="AU48" i="5"/>
  <c r="O49" i="5"/>
  <c r="AV48" i="5"/>
  <c r="AU49" i="5"/>
  <c r="H49" i="5" l="1"/>
  <c r="H48" i="5"/>
  <c r="G49" i="5"/>
  <c r="G48" i="5"/>
  <c r="O62" i="5"/>
  <c r="N62" i="5"/>
  <c r="O58" i="5"/>
  <c r="N58" i="5"/>
  <c r="N57" i="5"/>
  <c r="O56" i="5"/>
  <c r="N56" i="5"/>
  <c r="O55" i="5"/>
  <c r="N55" i="5"/>
  <c r="O54" i="5"/>
  <c r="N54" i="5"/>
  <c r="H57" i="5"/>
  <c r="G57" i="5"/>
  <c r="H56" i="5"/>
  <c r="G56" i="5"/>
  <c r="H55" i="5"/>
  <c r="G55" i="5"/>
  <c r="H54" i="5"/>
  <c r="H53" i="5"/>
  <c r="G53" i="5"/>
  <c r="G54" i="5"/>
  <c r="H76" i="5"/>
  <c r="H64" i="5" s="1"/>
  <c r="G76" i="5"/>
  <c r="G64" i="5" s="1"/>
  <c r="H75" i="5"/>
  <c r="G75" i="5"/>
  <c r="N61" i="5" s="1"/>
  <c r="AJ37" i="5"/>
  <c r="AI37" i="5"/>
  <c r="AL24" i="5"/>
  <c r="AM24" i="5" s="1"/>
  <c r="AN24" i="5" s="1"/>
  <c r="AO24" i="5" s="1"/>
  <c r="AP24" i="5" s="1"/>
  <c r="AQ24" i="5" s="1"/>
  <c r="AR24" i="5" s="1"/>
  <c r="AS24" i="5" s="1"/>
  <c r="H63" i="5"/>
  <c r="G63" i="5"/>
  <c r="H62" i="5"/>
  <c r="G62" i="5"/>
  <c r="AI42" i="5"/>
  <c r="AI41" i="5"/>
  <c r="H40" i="5"/>
  <c r="AF31" i="5"/>
  <c r="AE31" i="5"/>
  <c r="AF30" i="5"/>
  <c r="AE30" i="5"/>
  <c r="H9" i="5"/>
  <c r="O9" i="5" s="1"/>
  <c r="G9" i="5"/>
  <c r="N9" i="5" s="1"/>
  <c r="C5" i="5"/>
  <c r="H70" i="3"/>
  <c r="G70" i="3"/>
  <c r="I24" i="3"/>
  <c r="H69" i="3"/>
  <c r="G69" i="3"/>
  <c r="Y23" i="3"/>
  <c r="X23" i="3"/>
  <c r="AN47" i="3"/>
  <c r="AM47" i="3"/>
  <c r="AL47" i="3"/>
  <c r="AK47" i="3"/>
  <c r="AN46" i="3"/>
  <c r="AM46" i="3"/>
  <c r="AL46" i="3"/>
  <c r="AK46" i="3"/>
  <c r="AI47" i="3"/>
  <c r="AH47" i="3"/>
  <c r="AG47" i="3"/>
  <c r="AF47" i="3"/>
  <c r="AI46" i="3"/>
  <c r="AH46" i="3"/>
  <c r="AG46" i="3"/>
  <c r="AF46" i="3"/>
  <c r="O47" i="3"/>
  <c r="O46" i="3"/>
  <c r="X40" i="3"/>
  <c r="X39" i="3"/>
  <c r="O61" i="5" l="1"/>
  <c r="O53" i="5"/>
  <c r="H47" i="3"/>
  <c r="H46" i="3"/>
  <c r="G47" i="3"/>
  <c r="G46" i="3"/>
  <c r="G58" i="5"/>
  <c r="N10" i="5" s="1"/>
  <c r="N53" i="5"/>
  <c r="N59" i="5"/>
  <c r="O59" i="5"/>
  <c r="N63" i="5"/>
  <c r="H58" i="5"/>
  <c r="O63" i="5"/>
  <c r="N11" i="5"/>
  <c r="I31" i="5"/>
  <c r="I30" i="5"/>
  <c r="O10" i="5" l="1"/>
  <c r="N41" i="5" s="1"/>
  <c r="G10" i="5"/>
  <c r="M41" i="5" s="1"/>
  <c r="G11" i="5"/>
  <c r="M42" i="5" s="1"/>
  <c r="O11" i="5"/>
  <c r="N42" i="5" s="1"/>
  <c r="O41" i="5" l="1"/>
  <c r="H10" i="5" s="1"/>
  <c r="O42" i="5"/>
  <c r="H11" i="5" s="1"/>
  <c r="G12" i="5"/>
  <c r="G70" i="5" l="1"/>
  <c r="G68" i="5"/>
  <c r="G71" i="5"/>
  <c r="G69" i="5"/>
  <c r="G72" i="5"/>
  <c r="H12" i="5"/>
  <c r="H72" i="5" l="1"/>
  <c r="H70" i="5"/>
  <c r="H71" i="5"/>
  <c r="H69" i="5"/>
  <c r="H68" i="5"/>
  <c r="H72" i="3"/>
  <c r="H58" i="3" s="1"/>
  <c r="G72" i="3"/>
  <c r="G58" i="3" s="1"/>
  <c r="H71" i="3"/>
  <c r="H55" i="3" s="1"/>
  <c r="G71" i="3"/>
  <c r="G55" i="3" s="1"/>
  <c r="H57" i="3"/>
  <c r="G57" i="3"/>
  <c r="H53" i="3"/>
  <c r="G53" i="3"/>
  <c r="H56" i="3"/>
  <c r="G56" i="3"/>
  <c r="H52" i="3"/>
  <c r="G52" i="3"/>
  <c r="T35" i="3"/>
  <c r="I35" i="3" s="1"/>
  <c r="U31" i="3"/>
  <c r="T31" i="3"/>
  <c r="U30" i="3"/>
  <c r="T30" i="3"/>
  <c r="Y24" i="3"/>
  <c r="X24" i="3"/>
  <c r="H38" i="3"/>
  <c r="H9" i="3"/>
  <c r="O9" i="3" s="1"/>
  <c r="G9" i="3"/>
  <c r="N9" i="3" s="1"/>
  <c r="C5" i="3"/>
  <c r="I31" i="3" l="1"/>
  <c r="N11" i="3"/>
  <c r="G11" i="3" s="1"/>
  <c r="M40" i="3" s="1"/>
  <c r="G51" i="3"/>
  <c r="H51" i="3"/>
  <c r="O11" i="3"/>
  <c r="N40" i="3" s="1"/>
  <c r="I30" i="3"/>
  <c r="N10" i="3" l="1"/>
  <c r="G10" i="3" s="1"/>
  <c r="M39" i="3" s="1"/>
  <c r="O40" i="3"/>
  <c r="H11" i="3" s="1"/>
  <c r="O10" i="3"/>
  <c r="N39" i="3" s="1"/>
  <c r="AD103" i="2"/>
  <c r="AC103" i="2"/>
  <c r="AD102" i="2"/>
  <c r="AC102" i="2"/>
  <c r="AD100" i="2"/>
  <c r="AC100" i="2"/>
  <c r="AD99" i="2"/>
  <c r="AC99" i="2"/>
  <c r="BA59" i="2"/>
  <c r="BA58" i="2"/>
  <c r="BA57" i="2"/>
  <c r="BA56" i="2"/>
  <c r="BG44" i="2"/>
  <c r="BB44" i="2"/>
  <c r="O39" i="3" l="1"/>
  <c r="H10" i="3" s="1"/>
  <c r="H12" i="3" s="1"/>
  <c r="G12" i="3"/>
  <c r="AD84" i="2"/>
  <c r="AC84" i="2"/>
  <c r="AB82" i="2"/>
  <c r="AA82" i="2"/>
  <c r="I82" i="2" s="1"/>
  <c r="AB73" i="2"/>
  <c r="AA73" i="2"/>
  <c r="G66" i="3" l="1"/>
  <c r="G62" i="3"/>
  <c r="G63" i="3"/>
  <c r="G64" i="3"/>
  <c r="G65" i="3"/>
  <c r="H65" i="3"/>
  <c r="H64" i="3"/>
  <c r="H63" i="3"/>
  <c r="H62" i="3"/>
  <c r="H66" i="3"/>
  <c r="AC76" i="2"/>
  <c r="AD76" i="2"/>
  <c r="AA104" i="2"/>
  <c r="AA101" i="2"/>
  <c r="AA100" i="2"/>
  <c r="AA102" i="2"/>
  <c r="AA103" i="2"/>
  <c r="AA99" i="2"/>
  <c r="I79" i="2"/>
  <c r="I78" i="2"/>
  <c r="AC75" i="2"/>
  <c r="AC83" i="2"/>
  <c r="AC66" i="2"/>
  <c r="I72" i="2"/>
  <c r="I71" i="2"/>
  <c r="I70" i="2"/>
  <c r="AB104" i="2"/>
  <c r="AF62" i="2"/>
  <c r="AE24" i="2"/>
  <c r="AE25" i="2" s="1"/>
  <c r="AE26" i="2" s="1"/>
  <c r="AE62" i="2"/>
  <c r="AE61" i="2"/>
  <c r="AE63" i="2"/>
  <c r="AE58" i="2"/>
  <c r="AE57" i="2"/>
  <c r="AF52" i="2"/>
  <c r="AF53" i="2" s="1"/>
  <c r="AF54" i="2" s="1"/>
  <c r="AF55" i="2" s="1"/>
  <c r="AE52" i="2"/>
  <c r="AE53" i="2" s="1"/>
  <c r="AE54" i="2" s="1"/>
  <c r="AE55" i="2" s="1"/>
  <c r="AF47" i="2"/>
  <c r="AF48" i="2" s="1"/>
  <c r="AF49" i="2" s="1"/>
  <c r="AF50" i="2" s="1"/>
  <c r="AF43" i="2"/>
  <c r="AF44" i="2" s="1"/>
  <c r="AF45" i="2" s="1"/>
  <c r="AF46" i="2" s="1"/>
  <c r="AF39" i="2"/>
  <c r="AF40" i="2" s="1"/>
  <c r="AF41" i="2" s="1"/>
  <c r="AF42" i="2" s="1"/>
  <c r="AF35" i="2"/>
  <c r="AF36" i="2" s="1"/>
  <c r="AF37" i="2" s="1"/>
  <c r="AF38" i="2" s="1"/>
  <c r="AE47" i="2"/>
  <c r="AE48" i="2" s="1"/>
  <c r="AE49" i="2" s="1"/>
  <c r="AE50" i="2" s="1"/>
  <c r="AE43" i="2"/>
  <c r="AE44" i="2" s="1"/>
  <c r="AE45" i="2" s="1"/>
  <c r="AE46" i="2" s="1"/>
  <c r="AE39" i="2"/>
  <c r="AE40" i="2" s="1"/>
  <c r="AE41" i="2" s="1"/>
  <c r="AE42" i="2" s="1"/>
  <c r="AE35" i="2"/>
  <c r="AE36" i="2" s="1"/>
  <c r="AE37" i="2" s="1"/>
  <c r="AE38" i="2" s="1"/>
  <c r="H87" i="2"/>
  <c r="AE93" i="2"/>
  <c r="AE90" i="2"/>
  <c r="AE92" i="2"/>
  <c r="AE91" i="2"/>
  <c r="AE89" i="2"/>
  <c r="AE88" i="2"/>
  <c r="C5" i="2"/>
  <c r="H9" i="2"/>
  <c r="O9" i="2" s="1"/>
  <c r="G9" i="2"/>
  <c r="N9" i="2" s="1"/>
  <c r="I76" i="2" l="1"/>
  <c r="AD83" i="2"/>
  <c r="I83" i="2" s="1"/>
  <c r="AB101" i="2"/>
  <c r="AD66" i="2"/>
  <c r="I66" i="2" s="1"/>
  <c r="AD75" i="2"/>
  <c r="I75" i="2" s="1"/>
  <c r="AF61" i="2"/>
  <c r="AZ70" i="2"/>
  <c r="AZ69" i="2"/>
  <c r="AZ68" i="2"/>
  <c r="AZ67" i="2"/>
  <c r="AZ66" i="2"/>
  <c r="AZ65" i="2"/>
  <c r="AZ64" i="2"/>
  <c r="AZ63" i="2"/>
  <c r="G158" i="2"/>
  <c r="H132" i="2"/>
  <c r="G132" i="2"/>
  <c r="G131" i="2"/>
  <c r="G157" i="2"/>
  <c r="H155" i="2"/>
  <c r="G155" i="2"/>
  <c r="G156" i="2"/>
  <c r="G130" i="2"/>
  <c r="G129" i="2"/>
  <c r="H128" i="2"/>
  <c r="G128" i="2"/>
  <c r="N173" i="2"/>
  <c r="H126" i="2"/>
  <c r="H125" i="2"/>
  <c r="G126" i="2"/>
  <c r="G125" i="2"/>
  <c r="H116" i="2"/>
  <c r="H115" i="2"/>
  <c r="G116" i="2"/>
  <c r="G115" i="2"/>
  <c r="N172" i="2"/>
  <c r="AQ23" i="2"/>
  <c r="AP23" i="2"/>
  <c r="N171" i="2"/>
  <c r="N170" i="2"/>
  <c r="N169" i="2"/>
  <c r="G173" i="2"/>
  <c r="G172" i="2"/>
  <c r="G170" i="2"/>
  <c r="G171" i="2"/>
  <c r="G151" i="2" s="1"/>
  <c r="H169" i="2"/>
  <c r="G169" i="2"/>
  <c r="N168" i="2" s="1"/>
  <c r="G168" i="2"/>
  <c r="G118" i="2" s="1"/>
  <c r="H148" i="2"/>
  <c r="G148" i="2"/>
  <c r="H147" i="2"/>
  <c r="G147" i="2"/>
  <c r="H137" i="2"/>
  <c r="G137" i="2"/>
  <c r="H136" i="2"/>
  <c r="G136" i="2"/>
  <c r="H120" i="2"/>
  <c r="G120" i="2"/>
  <c r="H119" i="2"/>
  <c r="G119" i="2"/>
  <c r="H109" i="2"/>
  <c r="H110" i="2"/>
  <c r="G110" i="2"/>
  <c r="G109" i="2"/>
  <c r="I84" i="2"/>
  <c r="BG30" i="2"/>
  <c r="BG29" i="2"/>
  <c r="BG28" i="2"/>
  <c r="BG22" i="2"/>
  <c r="BG21" i="2"/>
  <c r="BG20" i="2"/>
  <c r="BG46" i="2"/>
  <c r="BG45" i="2"/>
  <c r="BG38" i="2"/>
  <c r="BG37" i="2"/>
  <c r="BG36" i="2"/>
  <c r="BB51" i="2"/>
  <c r="BB50" i="2"/>
  <c r="BB49" i="2"/>
  <c r="BB48" i="2"/>
  <c r="BB47" i="2"/>
  <c r="BB46" i="2"/>
  <c r="BB45" i="2"/>
  <c r="BB43" i="2"/>
  <c r="BB42" i="2"/>
  <c r="BB41" i="2"/>
  <c r="BB40" i="2"/>
  <c r="BB39" i="2"/>
  <c r="BB38" i="2"/>
  <c r="BB37" i="2"/>
  <c r="BB36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N113" i="2" l="1"/>
  <c r="G153" i="2"/>
  <c r="G144" i="2"/>
  <c r="G143" i="2"/>
  <c r="O168" i="2"/>
  <c r="H121" i="2" s="1"/>
  <c r="AR104" i="2"/>
  <c r="H111" i="2"/>
  <c r="I73" i="2"/>
  <c r="G149" i="2"/>
  <c r="AO100" i="2"/>
  <c r="AM101" i="2"/>
  <c r="AO99" i="2"/>
  <c r="AS104" i="2"/>
  <c r="AO101" i="2"/>
  <c r="AT104" i="2"/>
  <c r="O171" i="2"/>
  <c r="AB103" i="2"/>
  <c r="AB99" i="2"/>
  <c r="AB100" i="2"/>
  <c r="AB102" i="2"/>
  <c r="AM103" i="2"/>
  <c r="AP103" i="2"/>
  <c r="AP102" i="2"/>
  <c r="AM102" i="2"/>
  <c r="AP100" i="2"/>
  <c r="AN100" i="2"/>
  <c r="AN103" i="2"/>
  <c r="AN104" i="2"/>
  <c r="AU104" i="2"/>
  <c r="AP99" i="2"/>
  <c r="AR101" i="2"/>
  <c r="AU101" i="2"/>
  <c r="AT101" i="2"/>
  <c r="AS101" i="2"/>
  <c r="AN101" i="2"/>
  <c r="AP104" i="2"/>
  <c r="AM104" i="2"/>
  <c r="AP101" i="2"/>
  <c r="AN102" i="2"/>
  <c r="AO102" i="2"/>
  <c r="AM100" i="2"/>
  <c r="AN99" i="2"/>
  <c r="AO103" i="2"/>
  <c r="AO104" i="2"/>
  <c r="AM99" i="2"/>
  <c r="AF63" i="2"/>
  <c r="AF24" i="2"/>
  <c r="AF25" i="2" s="1"/>
  <c r="AF26" i="2" s="1"/>
  <c r="AF57" i="2"/>
  <c r="AF58" i="2"/>
  <c r="N15" i="2"/>
  <c r="N12" i="2"/>
  <c r="H171" i="2"/>
  <c r="H151" i="2" s="1"/>
  <c r="H172" i="2"/>
  <c r="O99" i="2"/>
  <c r="O101" i="2"/>
  <c r="O104" i="2"/>
  <c r="H133" i="2"/>
  <c r="H158" i="2"/>
  <c r="H129" i="2"/>
  <c r="H157" i="2"/>
  <c r="H130" i="2"/>
  <c r="H131" i="2"/>
  <c r="H156" i="2"/>
  <c r="O15" i="2" s="1"/>
  <c r="N162" i="2"/>
  <c r="O165" i="2"/>
  <c r="N165" i="2"/>
  <c r="N164" i="2"/>
  <c r="O173" i="2"/>
  <c r="N163" i="2"/>
  <c r="O102" i="2"/>
  <c r="O103" i="2"/>
  <c r="O100" i="2"/>
  <c r="H170" i="2"/>
  <c r="H173" i="2"/>
  <c r="H168" i="2"/>
  <c r="H146" i="2" s="1"/>
  <c r="N123" i="2"/>
  <c r="O172" i="2"/>
  <c r="O169" i="2"/>
  <c r="O170" i="2"/>
  <c r="N114" i="2"/>
  <c r="G141" i="2"/>
  <c r="G152" i="2"/>
  <c r="G142" i="2"/>
  <c r="G123" i="2"/>
  <c r="G113" i="2"/>
  <c r="G140" i="2"/>
  <c r="H150" i="2"/>
  <c r="G135" i="2"/>
  <c r="G146" i="2"/>
  <c r="G108" i="2"/>
  <c r="H138" i="2" l="1"/>
  <c r="H149" i="2"/>
  <c r="G103" i="2"/>
  <c r="G102" i="2"/>
  <c r="G99" i="2"/>
  <c r="G100" i="2"/>
  <c r="H153" i="2"/>
  <c r="H144" i="2"/>
  <c r="H143" i="2"/>
  <c r="O114" i="2"/>
  <c r="G139" i="2"/>
  <c r="G111" i="2"/>
  <c r="G121" i="2"/>
  <c r="G138" i="2"/>
  <c r="H104" i="2"/>
  <c r="N93" i="2" s="1"/>
  <c r="AU100" i="2"/>
  <c r="AR100" i="2"/>
  <c r="AT100" i="2"/>
  <c r="AS100" i="2"/>
  <c r="H101" i="2"/>
  <c r="AU103" i="2"/>
  <c r="AR103" i="2"/>
  <c r="AT103" i="2"/>
  <c r="AS103" i="2"/>
  <c r="AR99" i="2"/>
  <c r="AU99" i="2"/>
  <c r="AT99" i="2"/>
  <c r="AS99" i="2"/>
  <c r="AR102" i="2"/>
  <c r="AU102" i="2"/>
  <c r="AT102" i="2"/>
  <c r="AS102" i="2"/>
  <c r="O12" i="2"/>
  <c r="H140" i="2"/>
  <c r="H113" i="2"/>
  <c r="H123" i="2"/>
  <c r="G101" i="2"/>
  <c r="G12" i="2" s="1"/>
  <c r="G104" i="2"/>
  <c r="G15" i="2" s="1"/>
  <c r="K162" i="2"/>
  <c r="K163" i="2"/>
  <c r="O162" i="2"/>
  <c r="K164" i="2"/>
  <c r="O163" i="2"/>
  <c r="O164" i="2"/>
  <c r="H152" i="2"/>
  <c r="H108" i="2"/>
  <c r="H118" i="2"/>
  <c r="H141" i="2"/>
  <c r="H135" i="2"/>
  <c r="H142" i="2"/>
  <c r="G114" i="2"/>
  <c r="O113" i="2"/>
  <c r="O124" i="2"/>
  <c r="O123" i="2"/>
  <c r="G124" i="2"/>
  <c r="H139" i="2"/>
  <c r="H122" i="2"/>
  <c r="H112" i="2"/>
  <c r="G122" i="2"/>
  <c r="G112" i="2"/>
  <c r="G150" i="2"/>
  <c r="H102" i="2" l="1"/>
  <c r="H99" i="2"/>
  <c r="H100" i="2"/>
  <c r="H103" i="2"/>
  <c r="N13" i="2"/>
  <c r="G13" i="2" s="1"/>
  <c r="M91" i="2" s="1"/>
  <c r="N14" i="2"/>
  <c r="G14" i="2" s="1"/>
  <c r="M92" i="2" s="1"/>
  <c r="N90" i="2"/>
  <c r="O14" i="2"/>
  <c r="N11" i="2"/>
  <c r="G11" i="2" s="1"/>
  <c r="M89" i="2" s="1"/>
  <c r="N10" i="2"/>
  <c r="G10" i="2" s="1"/>
  <c r="H114" i="2"/>
  <c r="O10" i="2" s="1"/>
  <c r="O13" i="2"/>
  <c r="M90" i="2"/>
  <c r="M93" i="2"/>
  <c r="O93" i="2" s="1"/>
  <c r="H15" i="2" s="1"/>
  <c r="L164" i="2"/>
  <c r="K165" i="2"/>
  <c r="L163" i="2"/>
  <c r="L162" i="2"/>
  <c r="H124" i="2"/>
  <c r="O11" i="2" s="1"/>
  <c r="M88" i="2" l="1"/>
  <c r="G162" i="2"/>
  <c r="G165" i="2"/>
  <c r="G164" i="2"/>
  <c r="G163" i="2"/>
  <c r="N89" i="2"/>
  <c r="O89" i="2" s="1"/>
  <c r="H11" i="2" s="1"/>
  <c r="N88" i="2"/>
  <c r="N92" i="2"/>
  <c r="O92" i="2" s="1"/>
  <c r="H14" i="2" s="1"/>
  <c r="N91" i="2"/>
  <c r="O91" i="2" s="1"/>
  <c r="H13" i="2" s="1"/>
  <c r="O90" i="2"/>
  <c r="H12" i="2" s="1"/>
  <c r="G16" i="2"/>
  <c r="L165" i="2"/>
  <c r="O88" i="2" l="1"/>
  <c r="H10" i="2" s="1"/>
  <c r="H162" i="2" s="1"/>
  <c r="H163" i="2" l="1"/>
  <c r="H165" i="2"/>
  <c r="H16" i="2"/>
  <c r="H164" i="2"/>
  <c r="G133" i="2"/>
</calcChain>
</file>

<file path=xl/sharedStrings.xml><?xml version="1.0" encoding="utf-8"?>
<sst xmlns="http://schemas.openxmlformats.org/spreadsheetml/2006/main" count="1129" uniqueCount="456">
  <si>
    <t>General Information</t>
  </si>
  <si>
    <t>Analyst:</t>
  </si>
  <si>
    <t>Agency:</t>
  </si>
  <si>
    <t>Date:</t>
  </si>
  <si>
    <t>Highway Number:</t>
  </si>
  <si>
    <t>Roadway Segment:</t>
  </si>
  <si>
    <t>Notes:</t>
  </si>
  <si>
    <t>Output Summary</t>
  </si>
  <si>
    <t>Input Data</t>
  </si>
  <si>
    <t>Basic Roadway Data</t>
  </si>
  <si>
    <t>Number of lanes</t>
  </si>
  <si>
    <t>Number of general-purpose lanes</t>
  </si>
  <si>
    <t>Number of managed lanes</t>
  </si>
  <si>
    <t>Area type</t>
  </si>
  <si>
    <t>Segment length (mi)</t>
  </si>
  <si>
    <t>Access Data</t>
  </si>
  <si>
    <t>Traffic Data</t>
  </si>
  <si>
    <t>Geometric Data</t>
  </si>
  <si>
    <t>Average curve radius (ft)</t>
  </si>
  <si>
    <t>Total curve length (mi)</t>
  </si>
  <si>
    <t>Cross Section Data</t>
  </si>
  <si>
    <t>Lane width (ft)</t>
  </si>
  <si>
    <t>Outside shoulder width (ft)</t>
  </si>
  <si>
    <t>Inside shoulder width (ft)</t>
  </si>
  <si>
    <t>Percentage of high-volume hours</t>
  </si>
  <si>
    <t>Roadside Data</t>
  </si>
  <si>
    <t>Roadside barrier length (mi)</t>
  </si>
  <si>
    <t>Average median barrier offset (ft)</t>
  </si>
  <si>
    <t>Crash Modification Factors</t>
  </si>
  <si>
    <t>Horizontal curve</t>
  </si>
  <si>
    <t>Lane width</t>
  </si>
  <si>
    <t>Inside shoulder width</t>
  </si>
  <si>
    <t>Median width</t>
  </si>
  <si>
    <t>Median barrier</t>
  </si>
  <si>
    <t>High volume</t>
  </si>
  <si>
    <t>Lane change</t>
  </si>
  <si>
    <t>Outside shoulder width</t>
  </si>
  <si>
    <t>Shoulder rumble strip</t>
  </si>
  <si>
    <t>Outside clearance</t>
  </si>
  <si>
    <t>Outside barrier</t>
  </si>
  <si>
    <t>Ramp entrance</t>
  </si>
  <si>
    <t>Ramp exit</t>
  </si>
  <si>
    <t>Coefficients</t>
  </si>
  <si>
    <t>a</t>
  </si>
  <si>
    <t>b</t>
  </si>
  <si>
    <t>c</t>
  </si>
  <si>
    <t>C</t>
  </si>
  <si>
    <t>k</t>
  </si>
  <si>
    <t>Crash severity</t>
  </si>
  <si>
    <t>FI</t>
  </si>
  <si>
    <t>Lookup</t>
  </si>
  <si>
    <t>Rural</t>
  </si>
  <si>
    <t>Urban</t>
  </si>
  <si>
    <t>PDO</t>
  </si>
  <si>
    <t>Crash type</t>
  </si>
  <si>
    <t>MV</t>
  </si>
  <si>
    <t>SV</t>
  </si>
  <si>
    <t>Yes</t>
  </si>
  <si>
    <t>Continuous median barrier present?</t>
  </si>
  <si>
    <t>Short median barrier length (mi)</t>
  </si>
  <si>
    <t>SV FI crashes</t>
  </si>
  <si>
    <t>SV PDO crashes</t>
  </si>
  <si>
    <t>MV crashes (managed lanes)</t>
  </si>
  <si>
    <t>SV crashes (managed lanes)</t>
  </si>
  <si>
    <t>d</t>
  </si>
  <si>
    <t>Outside shoulder rumble strip proportion</t>
  </si>
  <si>
    <t>Inside shoulder rumble strip proportion</t>
  </si>
  <si>
    <t>MV FI crashes and speed-change lane crashes</t>
  </si>
  <si>
    <t>MV PDO crashes and speed-change lane crashes</t>
  </si>
  <si>
    <t>K</t>
  </si>
  <si>
    <t>A</t>
  </si>
  <si>
    <t>B</t>
  </si>
  <si>
    <t>e</t>
  </si>
  <si>
    <t>f</t>
  </si>
  <si>
    <t>g</t>
  </si>
  <si>
    <t>Cspf</t>
  </si>
  <si>
    <t>Base constant</t>
  </si>
  <si>
    <t>Intermediate calculations</t>
  </si>
  <si>
    <t>Proportion of length with curve</t>
  </si>
  <si>
    <t>Proportion of length with inside barrier</t>
  </si>
  <si>
    <t>Average median barrier width (ft)</t>
  </si>
  <si>
    <t>R</t>
  </si>
  <si>
    <t>AADT</t>
  </si>
  <si>
    <t>(veh/day)</t>
  </si>
  <si>
    <t>Proportion by Number of Lanes</t>
  </si>
  <si>
    <t>Default Proportion of AADT During High-Volume Hours (ISATe User Manual Table 4)</t>
  </si>
  <si>
    <t>Ramp AADT by Area Type and Lane Count</t>
  </si>
  <si>
    <t>Rural,1</t>
  </si>
  <si>
    <t>Urban,1</t>
  </si>
  <si>
    <t>Urban,2</t>
  </si>
  <si>
    <t>Default Values for Ramp Volume (ISATe User Manual Table 5)</t>
  </si>
  <si>
    <t>Proportion of length with outside barrier</t>
  </si>
  <si>
    <t>Ramp side</t>
  </si>
  <si>
    <t>Ramp number of lanes</t>
  </si>
  <si>
    <t>Right</t>
  </si>
  <si>
    <t>Basic Segment</t>
  </si>
  <si>
    <t>Managed-Lane Segment</t>
  </si>
  <si>
    <t>Speed-Change Lane</t>
  </si>
  <si>
    <t>Ramp type</t>
  </si>
  <si>
    <t>Entrance</t>
  </si>
  <si>
    <t>Type B weave proportion, decreasing milepost direction</t>
  </si>
  <si>
    <t>Type B weave proportion, increasing milepost direction</t>
  </si>
  <si>
    <t>Crash Data</t>
  </si>
  <si>
    <t>Number of years of crash history data</t>
  </si>
  <si>
    <t>Left</t>
  </si>
  <si>
    <t>None</t>
  </si>
  <si>
    <t>Exit</t>
  </si>
  <si>
    <t>Lane change CMF terms</t>
  </si>
  <si>
    <t>Safety Performance Functions</t>
  </si>
  <si>
    <t>MV,FI</t>
  </si>
  <si>
    <t>MV,PDO</t>
  </si>
  <si>
    <t>SV,FI</t>
  </si>
  <si>
    <t>SV,PDO</t>
  </si>
  <si>
    <t>MV FI or speed-change lane:</t>
  </si>
  <si>
    <t>Expected crash frequency (cr/yr)</t>
  </si>
  <si>
    <t>MV PDO or speed-change lane:</t>
  </si>
  <si>
    <t>Combined CMFs</t>
  </si>
  <si>
    <t>Base MV FI / SC lane crash frequency (cr/yr):</t>
  </si>
  <si>
    <t>Base MV PDO / SC lane crash frequency (cr/yr):</t>
  </si>
  <si>
    <t>Base SV FI crash frequency (cr/yr):</t>
  </si>
  <si>
    <t>Base SV PDO crash frequency (cr/yr):</t>
  </si>
  <si>
    <t>SV FI:</t>
  </si>
  <si>
    <t>SV PDO:</t>
  </si>
  <si>
    <t>Total:</t>
  </si>
  <si>
    <t>Systematic components</t>
  </si>
  <si>
    <t>Access weaving section</t>
  </si>
  <si>
    <t>Access ramp</t>
  </si>
  <si>
    <t>Average shoulder width</t>
  </si>
  <si>
    <t>Number of access ramp gores</t>
  </si>
  <si>
    <t>Number of access weaving sections</t>
  </si>
  <si>
    <t>Ramp entrance (speed-change lanes)</t>
  </si>
  <si>
    <t>Ramp exit (speed-change lanes)</t>
  </si>
  <si>
    <t>Managed lane configuration</t>
  </si>
  <si>
    <t>Non-reversible</t>
  </si>
  <si>
    <t>Reversible</t>
  </si>
  <si>
    <t>Managed lane separation type</t>
  </si>
  <si>
    <t>Barrier</t>
  </si>
  <si>
    <t>Stripe</t>
  </si>
  <si>
    <t>Pylon</t>
  </si>
  <si>
    <t>SPF Coefficients for Basic Segments and Speed-Change Lanes</t>
  </si>
  <si>
    <t>SPF Coefficients for Managed-Lane Segments</t>
  </si>
  <si>
    <t>Separation type</t>
  </si>
  <si>
    <t>Severity Distribution Functions (basic segments and speed-change lanes)</t>
  </si>
  <si>
    <t>Base managed-lane MV crash frequency (cr/yr):</t>
  </si>
  <si>
    <t>Base managed-lane SV crash frequency (cr/yr):</t>
  </si>
  <si>
    <t>MV managed lane:</t>
  </si>
  <si>
    <t>SV managed lane:</t>
  </si>
  <si>
    <t>AADT in general-purpose lanes (veh/day)</t>
  </si>
  <si>
    <t>% of high-volume hours in general-purpose lanes</t>
  </si>
  <si>
    <t>AADT in managed lanes (veh/day)</t>
  </si>
  <si>
    <t>Volume of entrance ramp at Xb,ent (veh/day)</t>
  </si>
  <si>
    <t>Volume of exit ramp at Xb,ext (veh/day)</t>
  </si>
  <si>
    <t>Volume of entrance ramp at Xe,ent (veh/day)</t>
  </si>
  <si>
    <t>Volume of exit ramp at Xe,ext (veh/day)</t>
  </si>
  <si>
    <t>Entrance ramp volume (veh/day)</t>
  </si>
  <si>
    <t>MV FI or speed-change lane crash count</t>
  </si>
  <si>
    <t>MV PDO or speed-change lane crash count</t>
  </si>
  <si>
    <t>MV managed-lane crash count</t>
  </si>
  <si>
    <t>SV FI crash count</t>
  </si>
  <si>
    <t>SV PDO crash count</t>
  </si>
  <si>
    <t>SV managed-lane crash count</t>
  </si>
  <si>
    <t>Bounds</t>
  </si>
  <si>
    <t>MP</t>
  </si>
  <si>
    <t>TTI</t>
  </si>
  <si>
    <t>Analysis Period:</t>
  </si>
  <si>
    <t>2018-2021</t>
  </si>
  <si>
    <t>Color-Coding Legend</t>
  </si>
  <si>
    <t>Green = optional input cell</t>
  </si>
  <si>
    <t>Rose = analysis results</t>
  </si>
  <si>
    <t>Proportions</t>
  </si>
  <si>
    <t>Expected crash frequency by severity (cr/yr)</t>
  </si>
  <si>
    <t>Weights</t>
  </si>
  <si>
    <t>Predicted</t>
  </si>
  <si>
    <t>Expected</t>
  </si>
  <si>
    <t>Formats</t>
  </si>
  <si>
    <t>No ramp</t>
  </si>
  <si>
    <t>Distance to ramp (mi)</t>
  </si>
  <si>
    <t>Ramp volume (veh/day)</t>
  </si>
  <si>
    <t>increasing milepost direction</t>
  </si>
  <si>
    <t>Upstream entrance,</t>
  </si>
  <si>
    <t>Downstream exit,</t>
  </si>
  <si>
    <t>decreasing milepost direction</t>
  </si>
  <si>
    <t>Lower 1</t>
  </si>
  <si>
    <t>Upper 1</t>
  </si>
  <si>
    <t>Lower 2</t>
  </si>
  <si>
    <t>Upper 2</t>
  </si>
  <si>
    <t>Type</t>
  </si>
  <si>
    <t>Lookup table 1</t>
  </si>
  <si>
    <t>Lookup table 2</t>
  </si>
  <si>
    <t>Clear zone width (ft)</t>
  </si>
  <si>
    <t>Average short median barrier offset from inside shoulder edge (ft)</t>
  </si>
  <si>
    <t>Average roadside barrier offset from outside shoulder edge (ft)</t>
  </si>
  <si>
    <t>Median width, including inside shoulders (ft)</t>
  </si>
  <si>
    <t>Menus</t>
  </si>
  <si>
    <t>No</t>
  </si>
  <si>
    <r>
      <t>L</t>
    </r>
    <r>
      <rPr>
        <vertAlign val="subscript"/>
        <sz val="10"/>
        <color theme="1"/>
        <rFont val="Arial"/>
        <family val="2"/>
      </rPr>
      <t>wevB,inc</t>
    </r>
  </si>
  <si>
    <r>
      <t>L</t>
    </r>
    <r>
      <rPr>
        <vertAlign val="subscript"/>
        <sz val="10"/>
        <color theme="1"/>
        <rFont val="Arial"/>
        <family val="2"/>
      </rPr>
      <t>wevB,dec</t>
    </r>
  </si>
  <si>
    <r>
      <t>L</t>
    </r>
    <r>
      <rPr>
        <vertAlign val="subscript"/>
        <sz val="10"/>
        <color theme="1"/>
        <rFont val="Arial"/>
        <family val="2"/>
      </rPr>
      <t>wev,inc</t>
    </r>
  </si>
  <si>
    <r>
      <t>L</t>
    </r>
    <r>
      <rPr>
        <vertAlign val="subscript"/>
        <sz val="10"/>
        <color theme="1"/>
        <rFont val="Arial"/>
        <family val="2"/>
      </rPr>
      <t>wev,dec</t>
    </r>
  </si>
  <si>
    <r>
      <t>X</t>
    </r>
    <r>
      <rPr>
        <vertAlign val="subscript"/>
        <sz val="10"/>
        <color theme="1"/>
        <rFont val="Arial"/>
        <family val="2"/>
      </rPr>
      <t>b,ent</t>
    </r>
  </si>
  <si>
    <r>
      <t>n</t>
    </r>
    <r>
      <rPr>
        <vertAlign val="subscript"/>
        <sz val="10"/>
        <color theme="1"/>
        <rFont val="Arial"/>
        <family val="2"/>
      </rPr>
      <t>l,b,ent</t>
    </r>
  </si>
  <si>
    <r>
      <t>AADT</t>
    </r>
    <r>
      <rPr>
        <vertAlign val="subscript"/>
        <sz val="10"/>
        <color theme="1"/>
        <rFont val="Arial"/>
        <family val="2"/>
      </rPr>
      <t>b,ent</t>
    </r>
  </si>
  <si>
    <r>
      <t>X</t>
    </r>
    <r>
      <rPr>
        <vertAlign val="subscript"/>
        <sz val="10"/>
        <color theme="1"/>
        <rFont val="Arial"/>
        <family val="2"/>
      </rPr>
      <t>b,ext</t>
    </r>
  </si>
  <si>
    <r>
      <t>n</t>
    </r>
    <r>
      <rPr>
        <vertAlign val="subscript"/>
        <sz val="10"/>
        <color theme="1"/>
        <rFont val="Arial"/>
        <family val="2"/>
      </rPr>
      <t>l,b,ext</t>
    </r>
  </si>
  <si>
    <r>
      <t>AADT</t>
    </r>
    <r>
      <rPr>
        <vertAlign val="subscript"/>
        <sz val="10"/>
        <color theme="1"/>
        <rFont val="Arial"/>
        <family val="2"/>
      </rPr>
      <t>b,ext</t>
    </r>
  </si>
  <si>
    <r>
      <t>X</t>
    </r>
    <r>
      <rPr>
        <vertAlign val="subscript"/>
        <sz val="10"/>
        <color theme="1"/>
        <rFont val="Arial"/>
        <family val="2"/>
      </rPr>
      <t>e,ent</t>
    </r>
  </si>
  <si>
    <r>
      <t>n</t>
    </r>
    <r>
      <rPr>
        <vertAlign val="subscript"/>
        <sz val="10"/>
        <color theme="1"/>
        <rFont val="Arial"/>
        <family val="2"/>
      </rPr>
      <t>l,e,ent</t>
    </r>
  </si>
  <si>
    <r>
      <t>AADT</t>
    </r>
    <r>
      <rPr>
        <vertAlign val="subscript"/>
        <sz val="10"/>
        <color theme="1"/>
        <rFont val="Arial"/>
        <family val="2"/>
      </rPr>
      <t>e,ent</t>
    </r>
  </si>
  <si>
    <r>
      <t>X</t>
    </r>
    <r>
      <rPr>
        <vertAlign val="subscript"/>
        <sz val="10"/>
        <color theme="1"/>
        <rFont val="Arial"/>
        <family val="2"/>
      </rPr>
      <t>e,ext</t>
    </r>
  </si>
  <si>
    <r>
      <t>n</t>
    </r>
    <r>
      <rPr>
        <vertAlign val="subscript"/>
        <sz val="10"/>
        <color theme="1"/>
        <rFont val="Arial"/>
        <family val="2"/>
      </rPr>
      <t>l,e,ext</t>
    </r>
  </si>
  <si>
    <r>
      <t>AADT</t>
    </r>
    <r>
      <rPr>
        <vertAlign val="subscript"/>
        <sz val="10"/>
        <color theme="1"/>
        <rFont val="Arial"/>
        <family val="2"/>
      </rPr>
      <t>e,ext</t>
    </r>
  </si>
  <si>
    <r>
      <t>L</t>
    </r>
    <r>
      <rPr>
        <vertAlign val="subscript"/>
        <sz val="10"/>
        <color theme="1"/>
        <rFont val="Arial"/>
        <family val="2"/>
      </rPr>
      <t>c</t>
    </r>
  </si>
  <si>
    <r>
      <t>W</t>
    </r>
    <r>
      <rPr>
        <vertAlign val="subscript"/>
        <sz val="10"/>
        <color theme="1"/>
        <rFont val="Arial"/>
        <family val="2"/>
      </rPr>
      <t>l</t>
    </r>
  </si>
  <si>
    <r>
      <t>W</t>
    </r>
    <r>
      <rPr>
        <vertAlign val="subscript"/>
        <sz val="10"/>
        <color theme="1"/>
        <rFont val="Arial"/>
        <family val="2"/>
      </rPr>
      <t>s</t>
    </r>
  </si>
  <si>
    <r>
      <t>W</t>
    </r>
    <r>
      <rPr>
        <vertAlign val="subscript"/>
        <sz val="10"/>
        <color theme="1"/>
        <rFont val="Arial"/>
        <family val="2"/>
      </rPr>
      <t>is</t>
    </r>
  </si>
  <si>
    <r>
      <t>W</t>
    </r>
    <r>
      <rPr>
        <vertAlign val="subscript"/>
        <sz val="10"/>
        <color theme="1"/>
        <rFont val="Arial"/>
        <family val="2"/>
      </rPr>
      <t>m</t>
    </r>
  </si>
  <si>
    <r>
      <t>L</t>
    </r>
    <r>
      <rPr>
        <vertAlign val="subscript"/>
        <sz val="10"/>
        <color theme="1"/>
        <rFont val="Arial"/>
        <family val="2"/>
      </rPr>
      <t>ib</t>
    </r>
  </si>
  <si>
    <r>
      <t>W</t>
    </r>
    <r>
      <rPr>
        <vertAlign val="subscript"/>
        <sz val="10"/>
        <color theme="1"/>
        <rFont val="Arial"/>
        <family val="2"/>
      </rPr>
      <t>icb</t>
    </r>
  </si>
  <si>
    <r>
      <t>W</t>
    </r>
    <r>
      <rPr>
        <vertAlign val="subscript"/>
        <sz val="10"/>
        <color theme="1"/>
        <rFont val="Arial"/>
        <family val="2"/>
      </rPr>
      <t>ib</t>
    </r>
  </si>
  <si>
    <r>
      <t>P</t>
    </r>
    <r>
      <rPr>
        <vertAlign val="subscript"/>
        <sz val="10"/>
        <color theme="1"/>
        <rFont val="Arial"/>
        <family val="2"/>
      </rPr>
      <t>or</t>
    </r>
  </si>
  <si>
    <r>
      <t>P</t>
    </r>
    <r>
      <rPr>
        <vertAlign val="subscript"/>
        <sz val="10"/>
        <color theme="1"/>
        <rFont val="Arial"/>
        <family val="2"/>
      </rPr>
      <t>ir</t>
    </r>
  </si>
  <si>
    <r>
      <t>W</t>
    </r>
    <r>
      <rPr>
        <vertAlign val="subscript"/>
        <sz val="10"/>
        <color theme="1"/>
        <rFont val="Arial"/>
        <family val="2"/>
      </rPr>
      <t>hc</t>
    </r>
  </si>
  <si>
    <r>
      <t>L</t>
    </r>
    <r>
      <rPr>
        <vertAlign val="subscript"/>
        <sz val="10"/>
        <color theme="1"/>
        <rFont val="Arial"/>
        <family val="2"/>
      </rPr>
      <t>ob</t>
    </r>
  </si>
  <si>
    <r>
      <t>W</t>
    </r>
    <r>
      <rPr>
        <vertAlign val="subscript"/>
        <sz val="10"/>
        <color theme="1"/>
        <rFont val="Arial"/>
        <family val="2"/>
      </rPr>
      <t>ocb</t>
    </r>
  </si>
  <si>
    <t>Map the ramp data to the relevant ramps as shown in HSM Figure 18-8a:</t>
  </si>
  <si>
    <r>
      <t>f</t>
    </r>
    <r>
      <rPr>
        <vertAlign val="subscript"/>
        <sz val="10"/>
        <color theme="1"/>
        <rFont val="Arial"/>
        <family val="2"/>
      </rPr>
      <t>wev,inc</t>
    </r>
  </si>
  <si>
    <r>
      <t>f</t>
    </r>
    <r>
      <rPr>
        <vertAlign val="subscript"/>
        <sz val="10"/>
        <color theme="1"/>
        <rFont val="Arial"/>
        <family val="2"/>
      </rPr>
      <t>wev,dec</t>
    </r>
  </si>
  <si>
    <r>
      <t>f</t>
    </r>
    <r>
      <rPr>
        <vertAlign val="subscript"/>
        <sz val="10"/>
        <color theme="1"/>
        <rFont val="Arial"/>
        <family val="2"/>
      </rPr>
      <t>lc,inc</t>
    </r>
  </si>
  <si>
    <r>
      <t>f</t>
    </r>
    <r>
      <rPr>
        <vertAlign val="subscript"/>
        <sz val="10"/>
        <color theme="1"/>
        <rFont val="Arial"/>
        <family val="2"/>
      </rPr>
      <t>lc,dec</t>
    </r>
  </si>
  <si>
    <r>
      <t>V</t>
    </r>
    <r>
      <rPr>
        <vertAlign val="subscript"/>
        <sz val="10"/>
        <color theme="1"/>
        <rFont val="Arial"/>
        <family val="2"/>
      </rPr>
      <t>K</t>
    </r>
  </si>
  <si>
    <r>
      <t>V</t>
    </r>
    <r>
      <rPr>
        <vertAlign val="subscript"/>
        <sz val="10"/>
        <color theme="1"/>
        <rFont val="Arial"/>
        <family val="2"/>
      </rPr>
      <t>A</t>
    </r>
  </si>
  <si>
    <r>
      <t>V</t>
    </r>
    <r>
      <rPr>
        <vertAlign val="subscript"/>
        <sz val="10"/>
        <color theme="1"/>
        <rFont val="Arial"/>
        <family val="2"/>
      </rPr>
      <t>B</t>
    </r>
  </si>
  <si>
    <r>
      <t>C</t>
    </r>
    <r>
      <rPr>
        <vertAlign val="subscript"/>
        <sz val="10"/>
        <color theme="1"/>
        <rFont val="Arial"/>
        <family val="2"/>
      </rPr>
      <t>sdf</t>
    </r>
  </si>
  <si>
    <r>
      <t>P</t>
    </r>
    <r>
      <rPr>
        <vertAlign val="subscript"/>
        <sz val="10"/>
        <color theme="1"/>
        <rFont val="Arial"/>
        <family val="2"/>
      </rPr>
      <t>c</t>
    </r>
  </si>
  <si>
    <r>
      <t>P</t>
    </r>
    <r>
      <rPr>
        <vertAlign val="subscript"/>
        <sz val="10"/>
        <color theme="1"/>
        <rFont val="Arial"/>
        <family val="2"/>
      </rPr>
      <t>ib</t>
    </r>
  </si>
  <si>
    <r>
      <t>P</t>
    </r>
    <r>
      <rPr>
        <vertAlign val="subscript"/>
        <sz val="10"/>
        <color theme="1"/>
        <rFont val="Arial"/>
        <family val="2"/>
      </rPr>
      <t>ob</t>
    </r>
  </si>
  <si>
    <r>
      <t>P</t>
    </r>
    <r>
      <rPr>
        <vertAlign val="subscript"/>
        <sz val="10"/>
        <color theme="1"/>
        <rFont val="Arial"/>
        <family val="2"/>
      </rPr>
      <t>hv</t>
    </r>
  </si>
  <si>
    <r>
      <t>P</t>
    </r>
    <r>
      <rPr>
        <vertAlign val="subscript"/>
        <sz val="10"/>
        <color theme="1"/>
        <rFont val="Arial"/>
        <family val="2"/>
      </rPr>
      <t>wevB,inc</t>
    </r>
  </si>
  <si>
    <r>
      <t>P</t>
    </r>
    <r>
      <rPr>
        <vertAlign val="subscript"/>
        <sz val="10"/>
        <color theme="1"/>
        <rFont val="Arial"/>
        <family val="2"/>
      </rPr>
      <t>wevB,dec</t>
    </r>
  </si>
  <si>
    <r>
      <t>AADT</t>
    </r>
    <r>
      <rPr>
        <vertAlign val="subscript"/>
        <sz val="10"/>
        <color theme="1"/>
        <rFont val="Arial"/>
        <family val="2"/>
      </rPr>
      <t>r</t>
    </r>
  </si>
  <si>
    <r>
      <t>C</t>
    </r>
    <r>
      <rPr>
        <vertAlign val="subscript"/>
        <sz val="10"/>
        <color theme="1"/>
        <rFont val="Arial"/>
        <family val="2"/>
      </rPr>
      <t>spf</t>
    </r>
  </si>
  <si>
    <t>FOREWORD</t>
  </si>
  <si>
    <t>INSTRUCTIONS</t>
  </si>
  <si>
    <t>Blue cells represent "input data."  Each time the worksheet is used, the values in these cells should be changed to represent the</t>
  </si>
  <si>
    <t xml:space="preserve">Yellow cells represent "calibration factors."  The values in these cells represent reasonable values for most situations and do not </t>
  </si>
  <si>
    <t xml:space="preserve">need to be changed.  Calibration factors can be changed to more accurately reflect local conditions.  However, field data </t>
  </si>
  <si>
    <t>from sites local to the agency should be the basis for this change.</t>
  </si>
  <si>
    <t>DISCLAIMER</t>
  </si>
  <si>
    <t>No warranty is made by the developers or their employer as to the accuracy, completeness, or reliability of this software and its</t>
  </si>
  <si>
    <t>associated equations and documentation.  No responsibility is assumed by the developers for incorrect results or damages resulting</t>
  </si>
  <si>
    <t>from the use of this software.</t>
  </si>
  <si>
    <t xml:space="preserve">This software is copyrighted.  All rights are reserved.  This product may not, in whole or in part, be copied, photocopied, reproduced, </t>
  </si>
  <si>
    <t>Highway Safety Manual Calculations for Texas</t>
  </si>
  <si>
    <t>Developed by:  Michael P. Pratt and Srinivas R. Geedipally</t>
  </si>
  <si>
    <t>Blue = basic input cell (manual or drop-down menu)</t>
  </si>
  <si>
    <t>translated, or reduced to any electronic medium or machine-readable form without prior consent, in writing, from Michael P. Pratt.</t>
  </si>
  <si>
    <t>This product is subject to change without notice and does not represent a commitment on the part of Michael P. Pratt to notify any</t>
  </si>
  <si>
    <t>person of such revision.</t>
  </si>
  <si>
    <t>COPYRIGHT © 2022</t>
  </si>
  <si>
    <t>This software is intended for use with the reports identified below.  The analyst is encouraged to read the documents to obtain an</t>
  </si>
  <si>
    <t>understanding of how best to use the software and interpret its output.</t>
  </si>
  <si>
    <t>Texas A&amp;M Transportation Institute, College Station, Texas, 2022.</t>
  </si>
  <si>
    <t>Pratt, Michael P., Srinivas R. Geedipally, Minh Le, Lingtao Wu, Raul Avelar, Subasish Das, and Dominique Lord.</t>
  </si>
  <si>
    <t>American Association of State Highway and Transportation Officials, Washington, DC, 2014.</t>
  </si>
  <si>
    <t>questions about the modeling approach, assumptions, or limitations.</t>
  </si>
  <si>
    <t>The equations used in this software are documented in these reports.  Analysts should refer to the report whenever they have</t>
  </si>
  <si>
    <t>This software consists of analysis worksheets for three types of roadway facilities.  Key cells on these worksheets are color-coded</t>
  </si>
  <si>
    <t>to indicate the type of data entered or displayed.  The following list indentifies the meaning of each cell color.</t>
  </si>
  <si>
    <t>Green cells represent "optional input data."  Each time the worksheet is used, the values in these cells should be changed to</t>
  </si>
  <si>
    <t>Rose cells represent "key output variables."  The values are computed using the input data, calibration factors, and default values.</t>
  </si>
  <si>
    <t>roadway segment being evaluated.  Input data must be provided by the analyst.</t>
  </si>
  <si>
    <t>represent the roadway segment being evaluated.  Input data should be provided by the analyst if available.</t>
  </si>
  <si>
    <t>White and rose cells are locked and cannot be changed.</t>
  </si>
  <si>
    <t>Full documentation of Highway Safety Manual models and data needs:</t>
  </si>
  <si>
    <t>Each analysis worksheet contains two data entry columns.  These columns can be used for any of the following analysis types:</t>
  </si>
  <si>
    <t>Empirical Bayes analysis principles:</t>
  </si>
  <si>
    <t>Bonneson, J. and K. Zimmerman.  Procedure for Using Accident Modification Factors in the Highway Design Process.</t>
  </si>
  <si>
    <t>Report 0-4703-P5.  Texas Transportation Institute, College Station, Texas 2007.</t>
  </si>
  <si>
    <r>
      <rPr>
        <i/>
        <sz val="10"/>
        <rFont val="Arial"/>
        <family val="2"/>
      </rPr>
      <t>Highway Safety Manual, First Edition, Supplement</t>
    </r>
    <r>
      <rPr>
        <sz val="10"/>
        <rFont val="Arial"/>
        <family val="2"/>
      </rPr>
      <t>, Chapters 18 &amp; 19.</t>
    </r>
  </si>
  <si>
    <r>
      <rPr>
        <i/>
        <sz val="10"/>
        <rFont val="Arial"/>
        <family val="2"/>
      </rPr>
      <t>Enhancing Freeway Safety Prediction Models</t>
    </r>
    <r>
      <rPr>
        <sz val="10"/>
        <rFont val="Arial"/>
        <family val="2"/>
      </rPr>
      <t>.  Technical Report 0-7067-R1.</t>
    </r>
  </si>
  <si>
    <t>Analyze two scenarios, such as "existing" and "proposed", for a site.  Enter "0" for the number of years of crash history</t>
  </si>
  <si>
    <t>data in the "Crash Data" input box.  Enter data to describe the existing conditions in the "Analysis Period" column.</t>
  </si>
  <si>
    <t>Enter data to describe the proposed conditions in the "Alternate Scenario" column.</t>
  </si>
  <si>
    <t>This software can be used to estimate crash frequency on freeways, ramps, and frontage roads as a function of geometric, access,</t>
  </si>
  <si>
    <t>Documentation of the procedures to calibrate HSM models to Texas conditions for urban freeways and development of models for</t>
  </si>
  <si>
    <t>urban freeway managed-lane facilities:</t>
  </si>
  <si>
    <t>Documentation of the procedures to calibrate HSM models to Texas conditions for rural freeways, ramps, and frontage roads:</t>
  </si>
  <si>
    <t>Analyze two sites.  Enter "0" for the number of years of crash history data in the "Crash Data" input box.  Enter data to</t>
  </si>
  <si>
    <t>describe the first site in the "Analysis Period" column.  Enter data to describe the second site in the "Alternate Scenario"</t>
  </si>
  <si>
    <t>column.  Overwrite the values in these columns as needed to describe the proposed conditions.</t>
  </si>
  <si>
    <t>1.  Crash prediction modeling analysis of alternate scenarios for one site:</t>
  </si>
  <si>
    <t>2.  Crash prediction modeling analysis of two sites:</t>
  </si>
  <si>
    <t>Analyze one site and enhance the accuracy of the crash prediction using crash data.  Enter a nonzero value for the</t>
  </si>
  <si>
    <t>4.  Empirical Bayes analysis of one site with changes to the site:</t>
  </si>
  <si>
    <t>3.  Empirical Bayes analysis of one site without changes to the site:</t>
  </si>
  <si>
    <t>number of years of crash history data in the "Crash Data" input box.  Enter data to describe the existing conditions and</t>
  </si>
  <si>
    <t>past traffic volumes in the "Crash Period" column.  Enter data to describe the same conditions and future traffic volumes</t>
  </si>
  <si>
    <t>in the "Analysis Period" column.</t>
  </si>
  <si>
    <t>Analyze two scenarios, such as "existing" and "proposed", for a site, and enhance the accuracy of the crash prediction</t>
  </si>
  <si>
    <t>using crash data.  Enter a nonzero value for the number of years of crash history data in the "Crash Data" input box.</t>
  </si>
  <si>
    <t xml:space="preserve">Enter data to describe the existing conditions and past traffic volumes in the "Crash Period" column.  Enter data to </t>
  </si>
  <si>
    <t>describe the proposed conditions and future traffic volumes in the "Analysis Period" column.  Note that this analysis</t>
  </si>
  <si>
    <t>method does not to apply to significant changes such as lane additions or major roadway realignments where the crash</t>
  </si>
  <si>
    <t>history from the existing conditions may not be relevant to the proposed conditions.</t>
  </si>
  <si>
    <t>Calculations</t>
  </si>
  <si>
    <t>Fatal (K):</t>
  </si>
  <si>
    <t>Incapacitating injury (A):</t>
  </si>
  <si>
    <t>Non-incapacitating injury (B):</t>
  </si>
  <si>
    <t>Possible injury (C):</t>
  </si>
  <si>
    <t>Region</t>
  </si>
  <si>
    <t>Not specified</t>
  </si>
  <si>
    <t>North</t>
  </si>
  <si>
    <t>East</t>
  </si>
  <si>
    <t>South</t>
  </si>
  <si>
    <t>West</t>
  </si>
  <si>
    <t>fr</t>
  </si>
  <si>
    <t>--</t>
  </si>
  <si>
    <t>Region Adjustment Factors</t>
  </si>
  <si>
    <r>
      <t>Region Adjustment Factor (f</t>
    </r>
    <r>
      <rPr>
        <vertAlign val="subscript"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) by Region</t>
    </r>
  </si>
  <si>
    <t>Lookup table 3</t>
  </si>
  <si>
    <t>Lookup table 4</t>
  </si>
  <si>
    <t>SPF Coefficients for Ramps</t>
  </si>
  <si>
    <r>
      <t>b</t>
    </r>
    <r>
      <rPr>
        <vertAlign val="subscript"/>
        <sz val="10"/>
        <color theme="1"/>
        <rFont val="Arial"/>
        <family val="2"/>
      </rPr>
      <t>0</t>
    </r>
  </si>
  <si>
    <r>
      <t>b</t>
    </r>
    <r>
      <rPr>
        <vertAlign val="subscript"/>
        <sz val="10"/>
        <color theme="1"/>
        <rFont val="Arial"/>
        <family val="2"/>
      </rPr>
      <t>1</t>
    </r>
  </si>
  <si>
    <r>
      <t>b</t>
    </r>
    <r>
      <rPr>
        <vertAlign val="subscript"/>
        <sz val="10"/>
        <color theme="1"/>
        <rFont val="Arial"/>
        <family val="2"/>
      </rPr>
      <t>en</t>
    </r>
  </si>
  <si>
    <t>Ramp length (mi)</t>
  </si>
  <si>
    <t>AADT on ramp (veh/day)</t>
  </si>
  <si>
    <t>Right shoulder width (ft)</t>
  </si>
  <si>
    <t>Left shoulder width (ft)</t>
  </si>
  <si>
    <t>Average shoulder width where barrier is present (ft)</t>
  </si>
  <si>
    <t>Roadside barrier present?</t>
  </si>
  <si>
    <r>
      <t>I</t>
    </r>
    <r>
      <rPr>
        <vertAlign val="subscript"/>
        <sz val="10"/>
        <color theme="1"/>
        <rFont val="Arial"/>
        <family val="2"/>
      </rPr>
      <t>bar</t>
    </r>
  </si>
  <si>
    <r>
      <t>W</t>
    </r>
    <r>
      <rPr>
        <vertAlign val="subscript"/>
        <sz val="10"/>
        <color theme="1"/>
        <rFont val="Arial"/>
        <family val="2"/>
      </rPr>
      <t>sw</t>
    </r>
  </si>
  <si>
    <r>
      <t>W</t>
    </r>
    <r>
      <rPr>
        <vertAlign val="subscript"/>
        <sz val="10"/>
        <color theme="1"/>
        <rFont val="Arial"/>
        <family val="2"/>
      </rPr>
      <t>rsw</t>
    </r>
  </si>
  <si>
    <r>
      <t>W</t>
    </r>
    <r>
      <rPr>
        <vertAlign val="subscript"/>
        <sz val="10"/>
        <color theme="1"/>
        <rFont val="Arial"/>
        <family val="2"/>
      </rPr>
      <t>lsw</t>
    </r>
  </si>
  <si>
    <r>
      <t>n</t>
    </r>
    <r>
      <rPr>
        <vertAlign val="subscript"/>
        <sz val="10"/>
        <color theme="1"/>
        <rFont val="Arial"/>
        <family val="2"/>
      </rPr>
      <t>hc</t>
    </r>
  </si>
  <si>
    <t>MV crashes</t>
  </si>
  <si>
    <t>SV crashes</t>
  </si>
  <si>
    <t>Right shoulder width</t>
  </si>
  <si>
    <t>Left shoulder width</t>
  </si>
  <si>
    <t>Barrier presence</t>
  </si>
  <si>
    <r>
      <t>I</t>
    </r>
    <r>
      <rPr>
        <vertAlign val="subscript"/>
        <sz val="10"/>
        <color theme="1"/>
        <rFont val="Arial"/>
        <family val="2"/>
      </rPr>
      <t>hc</t>
    </r>
  </si>
  <si>
    <t>Indicator variable for presence of &gt; 2 horizontal curves</t>
  </si>
  <si>
    <t>Indicator variable for roadside barrier presence</t>
  </si>
  <si>
    <t>b0</t>
  </si>
  <si>
    <t>b1</t>
  </si>
  <si>
    <t>ben</t>
  </si>
  <si>
    <t>Rural, 1 lane</t>
  </si>
  <si>
    <t>Urban, 1 lane</t>
  </si>
  <si>
    <t>Urban, 2 lanes</t>
  </si>
  <si>
    <r>
      <t>I</t>
    </r>
    <r>
      <rPr>
        <vertAlign val="subscript"/>
        <sz val="10"/>
        <color theme="1"/>
        <rFont val="Arial"/>
        <family val="2"/>
      </rPr>
      <t>en</t>
    </r>
  </si>
  <si>
    <t>Indicator variable for entrance ramp</t>
  </si>
  <si>
    <t>One-way</t>
  </si>
  <si>
    <t>Two-way</t>
  </si>
  <si>
    <t>Frontage road traffic operations</t>
  </si>
  <si>
    <t>Ramp AADT (veh/day)</t>
  </si>
  <si>
    <t>Ramp area type &amp; number of lanes</t>
  </si>
  <si>
    <t>AADT (veh/day)</t>
  </si>
  <si>
    <t>Posted regulatory speed limit (mph)</t>
  </si>
  <si>
    <t>Number of driveways</t>
  </si>
  <si>
    <t>Number of minor intersections</t>
  </si>
  <si>
    <t>Number of entrance ramp gores</t>
  </si>
  <si>
    <t>Number of exit ramp gores</t>
  </si>
  <si>
    <r>
      <t>n</t>
    </r>
    <r>
      <rPr>
        <vertAlign val="subscript"/>
        <sz val="10"/>
        <color theme="1"/>
        <rFont val="Arial"/>
        <family val="2"/>
      </rPr>
      <t>int</t>
    </r>
  </si>
  <si>
    <r>
      <t>n</t>
    </r>
    <r>
      <rPr>
        <vertAlign val="subscript"/>
        <sz val="10"/>
        <color theme="1"/>
        <rFont val="Arial"/>
        <family val="2"/>
      </rPr>
      <t>dw</t>
    </r>
  </si>
  <si>
    <r>
      <t>n</t>
    </r>
    <r>
      <rPr>
        <vertAlign val="subscript"/>
        <sz val="10"/>
        <color theme="1"/>
        <rFont val="Arial"/>
        <family val="2"/>
      </rPr>
      <t>ent</t>
    </r>
  </si>
  <si>
    <r>
      <t>n</t>
    </r>
    <r>
      <rPr>
        <vertAlign val="subscript"/>
        <sz val="10"/>
        <color theme="1"/>
        <rFont val="Arial"/>
        <family val="2"/>
      </rPr>
      <t>ext</t>
    </r>
  </si>
  <si>
    <t>Average shoulder width (ft)</t>
  </si>
  <si>
    <t>Number of horizontal curves on ramp</t>
  </si>
  <si>
    <t>Number of horizontal curves on segment</t>
  </si>
  <si>
    <r>
      <t>I</t>
    </r>
    <r>
      <rPr>
        <vertAlign val="subscript"/>
        <sz val="10"/>
        <color theme="1"/>
        <rFont val="Arial"/>
        <family val="2"/>
      </rPr>
      <t>rur</t>
    </r>
  </si>
  <si>
    <t>MV crashes - one-way segments</t>
  </si>
  <si>
    <t>SV crashes - one-way segments</t>
  </si>
  <si>
    <t>MV crashes - two-way segments</t>
  </si>
  <si>
    <t>SV crashes - two-way segments</t>
  </si>
  <si>
    <t>Minor intersection density</t>
  </si>
  <si>
    <t>Driveway density</t>
  </si>
  <si>
    <t>Entrance ramp density</t>
  </si>
  <si>
    <t>Exit ramp density</t>
  </si>
  <si>
    <t>Posted regulatory speed limit</t>
  </si>
  <si>
    <t>Horizontal curve density</t>
  </si>
  <si>
    <t>Rural area</t>
  </si>
  <si>
    <t>Indicator variable for rural area</t>
  </si>
  <si>
    <t>SPF Coefficients for Frontage Road Segments</t>
  </si>
  <si>
    <t>MV,One-way</t>
  </si>
  <si>
    <t>MV,Two-way</t>
  </si>
  <si>
    <t>SV,One-way</t>
  </si>
  <si>
    <t>SV,Two-way</t>
  </si>
  <si>
    <t>Base MV crash frequency (cr/yr):</t>
  </si>
  <si>
    <t>Base SV crash frequency (cr/yr):</t>
  </si>
  <si>
    <t>Severity Distribution Proportions</t>
  </si>
  <si>
    <t>Property damage only (PDO):</t>
  </si>
  <si>
    <t>O</t>
  </si>
  <si>
    <t>Ramp Type</t>
  </si>
  <si>
    <t>MV:</t>
  </si>
  <si>
    <t>SV:</t>
  </si>
  <si>
    <t>MV crash count</t>
  </si>
  <si>
    <t>SV crash count</t>
  </si>
  <si>
    <t>Severity</t>
  </si>
  <si>
    <t>One-way,Rural</t>
  </si>
  <si>
    <t>One-way,Urban</t>
  </si>
  <si>
    <t>Two-way,Rural</t>
  </si>
  <si>
    <t>Two-way,Urban</t>
  </si>
  <si>
    <t>PSL</t>
  </si>
  <si>
    <t>Definition of Type B weaving section from Highway Capacity Manual 2000 Chapter 13:</t>
  </si>
  <si>
    <t>One weaving movement can be made without making any lane changes.</t>
  </si>
  <si>
    <t>One weaving movement requires at most one lane change.</t>
  </si>
  <si>
    <t>See HCM 2000 Exhibit 13-9</t>
  </si>
  <si>
    <r>
      <rPr>
        <u/>
        <sz val="10"/>
        <color theme="1"/>
        <rFont val="Arial"/>
        <family val="2"/>
      </rPr>
      <t>Type B</t>
    </r>
    <r>
      <rPr>
        <sz val="10"/>
        <color theme="1"/>
        <rFont val="Arial"/>
        <family val="2"/>
      </rPr>
      <t xml:space="preserve"> weaving section length (mi)</t>
    </r>
  </si>
  <si>
    <r>
      <t>Weaving section length (</t>
    </r>
    <r>
      <rPr>
        <u/>
        <sz val="10"/>
        <color theme="1"/>
        <rFont val="Arial"/>
        <family val="2"/>
      </rPr>
      <t>all weaving section types</t>
    </r>
    <r>
      <rPr>
        <sz val="10"/>
        <color theme="1"/>
        <rFont val="Arial"/>
        <family val="2"/>
      </rPr>
      <t>) (mi)</t>
    </r>
  </si>
  <si>
    <t>Definition of Type B weaving sections on freeways:</t>
  </si>
  <si>
    <t>Geedipally, Srinivas, R., Karen K. Dixon, Lingtao Wu, Michael P. Pratt, Raul Avelar, Subasish Das, Ioannis Tsapakis,</t>
  </si>
  <si>
    <r>
      <rPr>
        <i/>
        <sz val="10"/>
        <rFont val="Arial"/>
        <family val="2"/>
      </rPr>
      <t xml:space="preserve">Highway Capacity Manual, Fourth Edition, </t>
    </r>
    <r>
      <rPr>
        <sz val="10"/>
        <rFont val="Arial"/>
        <family val="2"/>
      </rPr>
      <t>Chapter 13.  Transportation Research Board, Washington, DC, 2000.</t>
    </r>
  </si>
  <si>
    <t>Technical Report 0-7083-R1.  Texas A&amp;M Transportation Institute, College Station, Texas, 2022.</t>
  </si>
  <si>
    <r>
      <t xml:space="preserve">Dominique Lord, and Guneet Saini.  </t>
    </r>
    <r>
      <rPr>
        <i/>
        <sz val="10"/>
        <rFont val="Arial"/>
        <family val="2"/>
      </rPr>
      <t>Calibrating the Highway Safety Manual Predictive Methods for Texas Highways.</t>
    </r>
  </si>
  <si>
    <t>and traffic control data following the Highway Safety Manual methodology.  It is intended for use by engineers and technicians</t>
  </si>
  <si>
    <t>responsible for roadway design and safety analysis.</t>
  </si>
  <si>
    <t>If the ramp volume is not available, leave the green input cell blank &amp; populate the cells in the next two rows.</t>
  </si>
  <si>
    <t>Districts and Regions</t>
  </si>
  <si>
    <t>District</t>
  </si>
  <si>
    <t>Abilene</t>
  </si>
  <si>
    <t>Amarillo</t>
  </si>
  <si>
    <t>Atlanta</t>
  </si>
  <si>
    <t>Austin</t>
  </si>
  <si>
    <t>Beaumont</t>
  </si>
  <si>
    <t>Brownwood</t>
  </si>
  <si>
    <t>Bryan</t>
  </si>
  <si>
    <t>Childress</t>
  </si>
  <si>
    <t>Corpus Christi</t>
  </si>
  <si>
    <t>Dallas</t>
  </si>
  <si>
    <t>El Paso</t>
  </si>
  <si>
    <t>Fort Worth</t>
  </si>
  <si>
    <t>Houston</t>
  </si>
  <si>
    <t>Laredo</t>
  </si>
  <si>
    <t>Lubbock</t>
  </si>
  <si>
    <t>Lufkin</t>
  </si>
  <si>
    <t>Odessa</t>
  </si>
  <si>
    <t>Paris</t>
  </si>
  <si>
    <t>Pharr</t>
  </si>
  <si>
    <t>San Angelo</t>
  </si>
  <si>
    <t>San Antonio</t>
  </si>
  <si>
    <t>Tyler</t>
  </si>
  <si>
    <t>Waco</t>
  </si>
  <si>
    <t>Wichita Falls</t>
  </si>
  <si>
    <t>Yoakum</t>
  </si>
  <si>
    <t>TxDOT district</t>
  </si>
  <si>
    <t>One-way segment CMFs</t>
  </si>
  <si>
    <t>Two-way segment CMFs</t>
  </si>
  <si>
    <t>Enter a count of entrance and exit ramp gores on the frontage road segment.</t>
  </si>
  <si>
    <t>Enter a count of minor intersections and driveways intersecting the frontage road segment.</t>
  </si>
  <si>
    <t>Access Data variables:</t>
  </si>
  <si>
    <t>See diagram</t>
  </si>
  <si>
    <t>Minor intersections must be signed.  Count all active unsigned access points as driveways.</t>
  </si>
  <si>
    <t>https://www.txdot.gov/apps/statewide_mapping/StatewidePlanningMap.html</t>
  </si>
  <si>
    <t>Texas AADT data are available from the TxDOT Statewide Planning Map:</t>
  </si>
  <si>
    <t xml:space="preserve">  Version 4  (Release date:  9/11/2023)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</si>
</sst>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9]mmmm\ d\,\ yyyy;@"/>
    <numFmt numFmtId="166" formatCode="0.0000"/>
  </numFmts>
  <fonts count="16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26"/>
      <name val="Arial"/>
      <family val="2"/>
    </font>
    <font>
      <u/>
      <sz val="10"/>
      <color theme="1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15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0" fontId="0" fillId="0" borderId="0" xfId="0" quotePrefix="1"/>
    <xf numFmtId="164" fontId="0" fillId="0" borderId="0" xfId="0" applyNumberFormat="1"/>
    <xf numFmtId="164" fontId="0" fillId="0" borderId="8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4" fontId="0" fillId="0" borderId="0" xfId="0" quotePrefix="1" applyNumberFormat="1"/>
    <xf numFmtId="164" fontId="0" fillId="0" borderId="17" xfId="0" applyNumberFormat="1" applyBorder="1"/>
    <xf numFmtId="0" fontId="0" fillId="0" borderId="20" xfId="0" applyBorder="1" applyAlignment="1">
      <alignment horizontal="right"/>
    </xf>
    <xf numFmtId="164" fontId="0" fillId="0" borderId="20" xfId="0" applyNumberFormat="1" applyBorder="1"/>
    <xf numFmtId="164" fontId="0" fillId="0" borderId="22" xfId="0" applyNumberFormat="1" applyBorder="1"/>
    <xf numFmtId="0" fontId="0" fillId="0" borderId="6" xfId="0" quotePrefix="1" applyBorder="1"/>
    <xf numFmtId="0" fontId="0" fillId="0" borderId="3" xfId="0" quotePrefix="1" applyBorder="1"/>
    <xf numFmtId="0" fontId="0" fillId="2" borderId="10" xfId="0" applyFill="1" applyBorder="1"/>
    <xf numFmtId="0" fontId="0" fillId="2" borderId="32" xfId="0" applyFill="1" applyBorder="1"/>
    <xf numFmtId="0" fontId="0" fillId="0" borderId="15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34" xfId="0" applyBorder="1"/>
    <xf numFmtId="0" fontId="2" fillId="0" borderId="1" xfId="0" applyFont="1" applyBorder="1"/>
    <xf numFmtId="0" fontId="2" fillId="0" borderId="34" xfId="0" applyFont="1" applyBorder="1"/>
    <xf numFmtId="0" fontId="4" fillId="0" borderId="0" xfId="0" applyFont="1"/>
    <xf numFmtId="0" fontId="0" fillId="0" borderId="10" xfId="0" applyBorder="1"/>
    <xf numFmtId="0" fontId="0" fillId="0" borderId="32" xfId="0" applyBorder="1"/>
    <xf numFmtId="0" fontId="0" fillId="3" borderId="10" xfId="0" applyFill="1" applyBorder="1"/>
    <xf numFmtId="0" fontId="0" fillId="3" borderId="32" xfId="0" applyFill="1" applyBorder="1"/>
    <xf numFmtId="0" fontId="0" fillId="2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30" xfId="0" applyBorder="1"/>
    <xf numFmtId="0" fontId="0" fillId="0" borderId="26" xfId="0" applyBorder="1"/>
    <xf numFmtId="0" fontId="0" fillId="0" borderId="35" xfId="0" applyBorder="1"/>
    <xf numFmtId="0" fontId="3" fillId="0" borderId="0" xfId="0" applyFont="1"/>
    <xf numFmtId="0" fontId="2" fillId="4" borderId="23" xfId="0" applyFont="1" applyFill="1" applyBorder="1"/>
    <xf numFmtId="0" fontId="0" fillId="4" borderId="24" xfId="0" applyFill="1" applyBorder="1"/>
    <xf numFmtId="0" fontId="0" fillId="4" borderId="25" xfId="0" applyFill="1" applyBorder="1"/>
    <xf numFmtId="0" fontId="2" fillId="4" borderId="12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4" fillId="0" borderId="15" xfId="0" applyFont="1" applyBorder="1"/>
    <xf numFmtId="0" fontId="4" fillId="0" borderId="36" xfId="0" applyFont="1" applyBorder="1"/>
    <xf numFmtId="0" fontId="0" fillId="0" borderId="37" xfId="0" applyBorder="1"/>
    <xf numFmtId="0" fontId="0" fillId="0" borderId="36" xfId="0" applyBorder="1"/>
    <xf numFmtId="0" fontId="0" fillId="0" borderId="16" xfId="0" quotePrefix="1" applyBorder="1"/>
    <xf numFmtId="0" fontId="0" fillId="0" borderId="0" xfId="0" applyAlignment="1">
      <alignment horizontal="left"/>
    </xf>
    <xf numFmtId="0" fontId="0" fillId="0" borderId="20" xfId="0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7" xfId="0" applyFont="1" applyBorder="1" applyAlignment="1">
      <alignment horizontal="right"/>
    </xf>
    <xf numFmtId="166" fontId="6" fillId="0" borderId="0" xfId="0" applyNumberFormat="1" applyFont="1"/>
    <xf numFmtId="0" fontId="5" fillId="0" borderId="2" xfId="0" applyFont="1" applyBorder="1" applyAlignment="1">
      <alignment horizontal="right"/>
    </xf>
    <xf numFmtId="166" fontId="6" fillId="0" borderId="5" xfId="0" applyNumberFormat="1" applyFont="1" applyBorder="1"/>
    <xf numFmtId="166" fontId="6" fillId="0" borderId="19" xfId="0" applyNumberFormat="1" applyFont="1" applyBorder="1"/>
    <xf numFmtId="0" fontId="9" fillId="0" borderId="0" xfId="0" applyFont="1"/>
    <xf numFmtId="0" fontId="4" fillId="0" borderId="39" xfId="0" applyFont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5" xfId="0" applyBorder="1"/>
    <xf numFmtId="0" fontId="10" fillId="0" borderId="0" xfId="0" applyFont="1"/>
    <xf numFmtId="0" fontId="10" fillId="0" borderId="20" xfId="0" applyFont="1" applyBorder="1"/>
    <xf numFmtId="0" fontId="10" fillId="0" borderId="5" xfId="0" quotePrefix="1" applyFont="1" applyBorder="1"/>
    <xf numFmtId="0" fontId="3" fillId="0" borderId="3" xfId="0" applyFont="1" applyBorder="1"/>
    <xf numFmtId="0" fontId="11" fillId="0" borderId="0" xfId="0" applyFont="1"/>
    <xf numFmtId="0" fontId="0" fillId="0" borderId="46" xfId="0" applyBorder="1"/>
    <xf numFmtId="0" fontId="1" fillId="0" borderId="7" xfId="0" applyFont="1" applyBorder="1"/>
    <xf numFmtId="0" fontId="0" fillId="6" borderId="28" xfId="0" applyFill="1" applyBorder="1" applyAlignment="1">
      <alignment horizontal="left"/>
    </xf>
    <xf numFmtId="0" fontId="0" fillId="6" borderId="31" xfId="0" applyFill="1" applyBorder="1"/>
    <xf numFmtId="0" fontId="0" fillId="6" borderId="31" xfId="0" applyFill="1" applyBorder="1" applyAlignment="1">
      <alignment horizontal="center"/>
    </xf>
    <xf numFmtId="0" fontId="0" fillId="6" borderId="33" xfId="0" applyFill="1" applyBorder="1"/>
    <xf numFmtId="164" fontId="0" fillId="6" borderId="1" xfId="0" applyNumberFormat="1" applyFill="1" applyBorder="1"/>
    <xf numFmtId="164" fontId="0" fillId="6" borderId="28" xfId="0" applyNumberFormat="1" applyFill="1" applyBorder="1"/>
    <xf numFmtId="164" fontId="0" fillId="6" borderId="29" xfId="0" applyNumberFormat="1" applyFill="1" applyBorder="1"/>
    <xf numFmtId="0" fontId="6" fillId="0" borderId="0" xfId="1"/>
    <xf numFmtId="0" fontId="8" fillId="0" borderId="0" xfId="1" applyFont="1"/>
    <xf numFmtId="164" fontId="7" fillId="2" borderId="0" xfId="2" applyNumberFormat="1" applyFill="1"/>
    <xf numFmtId="0" fontId="7" fillId="7" borderId="0" xfId="2" applyFill="1"/>
    <xf numFmtId="164" fontId="7" fillId="3" borderId="0" xfId="2" applyNumberFormat="1" applyFill="1"/>
    <xf numFmtId="164" fontId="7" fillId="6" borderId="0" xfId="2" applyNumberFormat="1" applyFill="1"/>
    <xf numFmtId="0" fontId="10" fillId="0" borderId="19" xfId="0" quotePrefix="1" applyFont="1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165" fontId="0" fillId="2" borderId="9" xfId="0" applyNumberFormat="1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0" fillId="2" borderId="3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38" xfId="0" applyFill="1" applyBorder="1" applyAlignment="1" applyProtection="1">
      <alignment horizontal="right"/>
      <protection locked="0"/>
    </xf>
    <xf numFmtId="3" fontId="0" fillId="3" borderId="1" xfId="0" applyNumberFormat="1" applyFill="1" applyBorder="1" applyProtection="1">
      <protection locked="0"/>
    </xf>
    <xf numFmtId="3" fontId="0" fillId="3" borderId="30" xfId="0" applyNumberFormat="1" applyFill="1" applyBorder="1" applyProtection="1">
      <protection locked="0"/>
    </xf>
    <xf numFmtId="3" fontId="0" fillId="3" borderId="44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3" fontId="0" fillId="2" borderId="27" xfId="0" applyNumberFormat="1" applyFill="1" applyBorder="1" applyProtection="1">
      <protection locked="0"/>
    </xf>
    <xf numFmtId="0" fontId="0" fillId="2" borderId="27" xfId="0" applyFill="1" applyBorder="1" applyAlignment="1" applyProtection="1">
      <alignment horizontal="right"/>
      <protection locked="0"/>
    </xf>
    <xf numFmtId="0" fontId="0" fillId="3" borderId="27" xfId="0" applyFill="1" applyBorder="1" applyProtection="1">
      <protection locked="0"/>
    </xf>
    <xf numFmtId="0" fontId="0" fillId="5" borderId="0" xfId="0" applyFill="1" applyProtection="1">
      <protection locked="0"/>
    </xf>
    <xf numFmtId="2" fontId="0" fillId="5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8" xfId="0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0" fontId="0" fillId="5" borderId="46" xfId="0" applyFill="1" applyBorder="1" applyProtection="1">
      <protection locked="0"/>
    </xf>
    <xf numFmtId="0" fontId="1" fillId="5" borderId="6" xfId="0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0" fontId="1" fillId="5" borderId="8" xfId="0" applyFont="1" applyFill="1" applyBorder="1" applyProtection="1">
      <protection locked="0"/>
    </xf>
    <xf numFmtId="0" fontId="1" fillId="5" borderId="46" xfId="0" applyFont="1" applyFill="1" applyBorder="1" applyProtection="1">
      <protection locked="0"/>
    </xf>
    <xf numFmtId="164" fontId="0" fillId="0" borderId="1" xfId="0" applyNumberFormat="1" applyBorder="1"/>
    <xf numFmtId="164" fontId="0" fillId="0" borderId="27" xfId="0" applyNumberFormat="1" applyBorder="1"/>
    <xf numFmtId="0" fontId="4" fillId="0" borderId="3" xfId="0" applyFont="1" applyBorder="1" applyAlignment="1">
      <alignment horizontal="right"/>
    </xf>
    <xf numFmtId="0" fontId="0" fillId="5" borderId="6" xfId="0" quotePrefix="1" applyFill="1" applyBorder="1" applyAlignment="1" applyProtection="1">
      <alignment horizontal="right"/>
      <protection locked="0"/>
    </xf>
    <xf numFmtId="0" fontId="0" fillId="5" borderId="46" xfId="0" applyFill="1" applyBorder="1" applyAlignment="1" applyProtection="1">
      <alignment horizontal="right"/>
      <protection locked="0"/>
    </xf>
    <xf numFmtId="0" fontId="0" fillId="5" borderId="3" xfId="0" applyFill="1" applyBorder="1"/>
    <xf numFmtId="0" fontId="0" fillId="5" borderId="4" xfId="0" applyFill="1" applyBorder="1"/>
    <xf numFmtId="0" fontId="0" fillId="5" borderId="0" xfId="0" applyFill="1"/>
    <xf numFmtId="0" fontId="0" fillId="5" borderId="6" xfId="0" applyFill="1" applyBorder="1"/>
    <xf numFmtId="0" fontId="0" fillId="5" borderId="8" xfId="0" applyFill="1" applyBorder="1"/>
    <xf numFmtId="0" fontId="0" fillId="5" borderId="46" xfId="0" applyFill="1" applyBorder="1"/>
    <xf numFmtId="0" fontId="0" fillId="0" borderId="8" xfId="0" applyBorder="1" applyAlignment="1">
      <alignment horizontal="right"/>
    </xf>
    <xf numFmtId="0" fontId="0" fillId="0" borderId="46" xfId="0" applyBorder="1" applyAlignment="1">
      <alignment horizontal="right"/>
    </xf>
    <xf numFmtId="2" fontId="0" fillId="5" borderId="6" xfId="0" applyNumberFormat="1" applyFill="1" applyBorder="1" applyProtection="1">
      <protection locked="0"/>
    </xf>
    <xf numFmtId="2" fontId="0" fillId="5" borderId="46" xfId="0" applyNumberFormat="1" applyFill="1" applyBorder="1" applyProtection="1">
      <protection locked="0"/>
    </xf>
    <xf numFmtId="3" fontId="0" fillId="3" borderId="35" xfId="0" applyNumberFormat="1" applyFill="1" applyBorder="1" applyProtection="1">
      <protection locked="0"/>
    </xf>
    <xf numFmtId="0" fontId="9" fillId="0" borderId="20" xfId="0" applyFont="1" applyBorder="1"/>
    <xf numFmtId="0" fontId="3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quotePrefix="1" applyBorder="1"/>
    <xf numFmtId="0" fontId="0" fillId="2" borderId="30" xfId="0" applyFill="1" applyBorder="1" applyAlignment="1" applyProtection="1">
      <alignment horizontal="right"/>
      <protection locked="0"/>
    </xf>
    <xf numFmtId="3" fontId="6" fillId="2" borderId="1" xfId="0" applyNumberFormat="1" applyFont="1" applyFill="1" applyBorder="1" applyProtection="1">
      <protection locked="0"/>
    </xf>
    <xf numFmtId="3" fontId="0" fillId="2" borderId="35" xfId="0" applyNumberFormat="1" applyFill="1" applyBorder="1" applyProtection="1">
      <protection locked="0"/>
    </xf>
    <xf numFmtId="0" fontId="4" fillId="0" borderId="2" xfId="0" applyFont="1" applyBorder="1"/>
    <xf numFmtId="164" fontId="0" fillId="5" borderId="6" xfId="0" applyNumberFormat="1" applyFill="1" applyBorder="1" applyProtection="1">
      <protection locked="0"/>
    </xf>
    <xf numFmtId="164" fontId="0" fillId="5" borderId="46" xfId="0" applyNumberFormat="1" applyFill="1" applyBorder="1" applyProtection="1">
      <protection locked="0"/>
    </xf>
    <xf numFmtId="0" fontId="4" fillId="0" borderId="0" xfId="0" applyFont="1" applyAlignment="1">
      <alignment horizontal="right"/>
    </xf>
    <xf numFmtId="0" fontId="0" fillId="5" borderId="3" xfId="0" applyFill="1" applyBorder="1" applyProtection="1">
      <protection locked="0"/>
    </xf>
    <xf numFmtId="0" fontId="0" fillId="5" borderId="4" xfId="0" applyFill="1" applyBorder="1" applyProtection="1">
      <protection locked="0"/>
    </xf>
    <xf numFmtId="164" fontId="0" fillId="0" borderId="34" xfId="0" applyNumberFormat="1" applyBorder="1"/>
    <xf numFmtId="0" fontId="15" fillId="0" borderId="0" xfId="3"/>
    <xf numFmtId="0" fontId="15" fillId="0" borderId="20" xfId="3" applyBorder="1"/>
    <xf numFmtId="0" fontId="6" fillId="0" borderId="20" xfId="0" applyFont="1" applyBorder="1"/>
    <xf numFmtId="0" fontId="13" fillId="0" borderId="47" xfId="1" applyFont="1" applyBorder="1" applyAlignment="1">
      <alignment horizontal="center" vertical="center"/>
    </xf>
    <xf numFmtId="0" fontId="6" fillId="0" borderId="48" xfId="1" applyBorder="1"/>
    <xf numFmtId="0" fontId="6" fillId="0" borderId="49" xfId="1" applyBorder="1"/>
    <xf numFmtId="0" fontId="6" fillId="0" borderId="50" xfId="1" applyBorder="1"/>
    <xf numFmtId="0" fontId="6" fillId="0" borderId="0" xfId="1"/>
    <xf numFmtId="0" fontId="6" fillId="0" borderId="51" xfId="1" applyBorder="1"/>
    <xf numFmtId="0" fontId="6" fillId="0" borderId="52" xfId="1" applyBorder="1"/>
    <xf numFmtId="0" fontId="6" fillId="0" borderId="53" xfId="1" applyBorder="1"/>
    <xf numFmtId="0" fontId="6" fillId="0" borderId="54" xfId="1" applyBorder="1"/>
    <xf numFmtId="0" fontId="6" fillId="0" borderId="0" xfId="1" applyAlignment="1">
      <alignment horizontal="center"/>
    </xf>
  </cellXfs>
  <cellStyles count="4">
    <cellStyle name="Hyperlink" xfId="3" builtinId="8"/>
    <cellStyle name="Normal" xfId="0" builtinId="0"/>
    <cellStyle name="Normal 2" xfId="1" xr:uid="{621A28E4-08F8-4FC3-BA55-4DE23209747C}"/>
    <cellStyle name="Normal 3" xfId="2" xr:uid="{A81D3DC2-EAC0-4F29-81DF-BC26334F5AB5}"/>
  </cellStyles>
  <dxfs count="35">
    <dxf>
      <fill>
        <patternFill>
          <bgColor rgb="FF66FFFF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ill>
        <patternFill>
          <bgColor rgb="FF99FF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99FF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ill>
        <patternFill>
          <bgColor rgb="FF99FF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ill>
        <patternFill>
          <bgColor rgb="FF99FF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ill>
        <patternFill>
          <bgColor rgb="FF99FF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ill>
        <patternFill>
          <bgColor rgb="FF99FF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66FFFF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  <color rgb="FFFFFFCC"/>
      <color rgb="FF66FFFF"/>
      <color rgb="FF99FF99"/>
      <color rgb="FFFFCCFF"/>
      <color rgb="FF66FF66"/>
      <color rgb="FF00FF00"/>
      <color rgb="FF66FF99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1143000</xdr:colOff>
      <xdr:row>37</xdr:row>
      <xdr:rowOff>0</xdr:rowOff>
    </xdr:from>
    <xdr:to>
      <xdr:col>14</xdr:col>
      <xdr:colOff>1097280</xdr:colOff>
      <xdr:row>48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B744E2-8F91-4B79-8386-A12A701E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5620" y="6484620"/>
          <a:ext cx="6606540" cy="2202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22</xdr:col>
      <xdr:colOff>320039</xdr:colOff>
      <xdr:row>50</xdr:row>
      <xdr:rowOff>9002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BFC0CA-C715-4B59-B6C1-E797F9A5C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73200" y="4960620"/>
          <a:ext cx="3977639" cy="4024742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14</xdr:col>
      <xdr:colOff>541020</xdr:colOff>
      <xdr:row>32</xdr:row>
      <xdr:rowOff>114300</xdr:rowOff>
    </xdr:from>
    <xdr:to>
      <xdr:col>14</xdr:col>
      <xdr:colOff>868680</xdr:colOff>
      <xdr:row>32</xdr:row>
      <xdr:rowOff>114300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61AE3BF-FEBF-CA20-2690-6298D44BC54F}"/>
            </a:ext>
          </a:extLst>
        </xdr:cNvPr>
        <xdr:cNvCxnSpPr/>
      </xdr:nvCxnSpPr>
      <xdr:spPr>
        <a:xfrm>
          <a:off x="12915900" y="5638800"/>
          <a:ext cx="327660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32</xdr:row>
      <xdr:rowOff>0</xdr:rowOff>
    </xdr:from>
    <xdr:to>
      <xdr:col>27</xdr:col>
      <xdr:colOff>152400</xdr:colOff>
      <xdr:row>46</xdr:row>
      <xdr:rowOff>44695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23C5FB-914E-3CBE-E13C-8842E8FCC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200" y="5631180"/>
          <a:ext cx="6858000" cy="2559295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>
    <xdr:from>
      <xdr:col>14</xdr:col>
      <xdr:colOff>784860</xdr:colOff>
      <xdr:row>35</xdr:row>
      <xdr:rowOff>114300</xdr:rowOff>
    </xdr:from>
    <xdr:to>
      <xdr:col>14</xdr:col>
      <xdr:colOff>1112520</xdr:colOff>
      <xdr:row>35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E7CFEBC-AE16-4F56-B4A3-A5F45D1DA315}"/>
            </a:ext>
          </a:extLst>
        </xdr:cNvPr>
        <xdr:cNvCxnSpPr/>
      </xdr:nvCxnSpPr>
      <xdr:spPr>
        <a:xfrm>
          <a:off x="13159740" y="6309360"/>
          <a:ext cx="327660" cy="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xdot.gov/apps/statewide_mapping/StatewidePlanningMap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xdot.gov/apps/statewide_mapping/StatewidePlanningMa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215BD-C5A9-48DF-A971-CE0039138D7D}">
  <sheetPr codeName="Sheet1"/>
  <dimension ref="A1:O91"/>
  <sheetViews>
    <sheetView showGridLines="0" tabSelected="1" workbookViewId="0"/>
  </sheetViews>
  <sheetFormatPr defaultRowHeight="13.2" x14ac:dyDescent="0.25"/>
  <cols>
    <col min="1" max="1" width="2.5546875" customWidth="1"/>
  </cols>
  <sheetData>
    <row r="1" spans="1:15" ht="13.8" thickBot="1" x14ac:dyDescent="0.3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3.8" thickTop="1" x14ac:dyDescent="0.25">
      <c r="A2" s="86"/>
      <c r="B2" s="155" t="s">
        <v>252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7"/>
      <c r="N2" s="86"/>
      <c r="O2" s="86"/>
    </row>
    <row r="3" spans="1:15" x14ac:dyDescent="0.25">
      <c r="A3" s="86"/>
      <c r="B3" s="158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/>
      <c r="N3" s="86"/>
      <c r="O3" s="86"/>
    </row>
    <row r="4" spans="1:15" ht="13.8" thickBot="1" x14ac:dyDescent="0.3">
      <c r="A4" s="86"/>
      <c r="B4" s="161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3"/>
      <c r="N4" s="86"/>
      <c r="O4" s="86"/>
    </row>
    <row r="5" spans="1:15" ht="13.8" thickTop="1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5" x14ac:dyDescent="0.25">
      <c r="A6" s="86"/>
      <c r="B6" s="164" t="s">
        <v>253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86"/>
      <c r="O6" s="86"/>
    </row>
    <row r="7" spans="1:15" x14ac:dyDescent="0.25">
      <c r="A7" s="86"/>
      <c r="B7" s="164" t="s">
        <v>455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86"/>
      <c r="O7" s="86"/>
    </row>
    <row r="8" spans="1:15" x14ac:dyDescent="0.25">
      <c r="A8" s="86"/>
      <c r="B8" s="87" t="s">
        <v>241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5" x14ac:dyDescent="0.25">
      <c r="A9" s="86"/>
      <c r="B9" s="86" t="s">
        <v>283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5" x14ac:dyDescent="0.25">
      <c r="A10" s="86"/>
      <c r="B10" s="86" t="s">
        <v>415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</row>
    <row r="11" spans="1:15" x14ac:dyDescent="0.25">
      <c r="A11" s="86"/>
      <c r="B11" s="86" t="s">
        <v>416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</row>
    <row r="12" spans="1:15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</row>
    <row r="13" spans="1:15" x14ac:dyDescent="0.25">
      <c r="A13" s="86"/>
      <c r="B13" s="86" t="s">
        <v>259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</row>
    <row r="14" spans="1:15" x14ac:dyDescent="0.25">
      <c r="A14" s="86"/>
      <c r="B14" s="86" t="s">
        <v>260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1:15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</row>
    <row r="16" spans="1:15" x14ac:dyDescent="0.25">
      <c r="A16" s="86"/>
      <c r="B16" s="86" t="s">
        <v>273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 x14ac:dyDescent="0.25">
      <c r="A17" s="86"/>
      <c r="B17" s="86"/>
      <c r="C17" s="86" t="s">
        <v>278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 x14ac:dyDescent="0.25">
      <c r="A18" s="86"/>
      <c r="B18" s="86"/>
      <c r="C18" s="86" t="s">
        <v>263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</row>
    <row r="20" spans="1:15" x14ac:dyDescent="0.25">
      <c r="A20" s="86"/>
      <c r="B20" s="86" t="s">
        <v>284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</row>
    <row r="21" spans="1:15" x14ac:dyDescent="0.25">
      <c r="A21" s="86"/>
      <c r="B21" s="86" t="s">
        <v>285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</row>
    <row r="22" spans="1:15" x14ac:dyDescent="0.25">
      <c r="A22" s="86"/>
      <c r="B22" s="86"/>
      <c r="C22" s="86" t="s">
        <v>262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</row>
    <row r="23" spans="1:15" x14ac:dyDescent="0.25">
      <c r="A23" s="86"/>
      <c r="B23" s="86"/>
      <c r="C23" s="86" t="s">
        <v>279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spans="1:15" x14ac:dyDescent="0.25">
      <c r="A24" s="86"/>
      <c r="B24" s="86"/>
      <c r="C24" s="86" t="s">
        <v>261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spans="1:15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</row>
    <row r="26" spans="1:15" x14ac:dyDescent="0.25">
      <c r="A26" s="86"/>
      <c r="B26" s="86" t="s">
        <v>286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</row>
    <row r="27" spans="1:15" x14ac:dyDescent="0.25">
      <c r="A27" s="86"/>
      <c r="B27" s="86"/>
      <c r="C27" s="86" t="s">
        <v>411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</row>
    <row r="28" spans="1:15" x14ac:dyDescent="0.25">
      <c r="A28" s="86"/>
      <c r="B28" s="86"/>
      <c r="C28" s="86" t="s">
        <v>414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</row>
    <row r="29" spans="1:15" x14ac:dyDescent="0.25">
      <c r="A29" s="86"/>
      <c r="B29" s="86"/>
      <c r="C29" s="86" t="s">
        <v>413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</row>
    <row r="30" spans="1:15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</row>
    <row r="31" spans="1:15" x14ac:dyDescent="0.25">
      <c r="A31" s="86"/>
      <c r="B31" s="86" t="s">
        <v>275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x14ac:dyDescent="0.25">
      <c r="A32" s="86"/>
      <c r="B32" s="86"/>
      <c r="C32" s="86" t="s">
        <v>276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</row>
    <row r="33" spans="1:15" x14ac:dyDescent="0.25">
      <c r="A33" s="86"/>
      <c r="B33" s="86"/>
      <c r="C33" s="86" t="s">
        <v>277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</row>
    <row r="34" spans="1:15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15" x14ac:dyDescent="0.25">
      <c r="A35" s="86"/>
      <c r="B35" s="86" t="s">
        <v>410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1:15" x14ac:dyDescent="0.25">
      <c r="A36" s="86"/>
      <c r="B36" s="86"/>
      <c r="C36" s="86" t="s">
        <v>412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1:15" x14ac:dyDescent="0.25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1:15" x14ac:dyDescent="0.25">
      <c r="A38" s="86"/>
      <c r="B38" s="86" t="s">
        <v>265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</row>
    <row r="39" spans="1:15" x14ac:dyDescent="0.25">
      <c r="A39" s="86"/>
      <c r="B39" s="86" t="s">
        <v>264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1:15" x14ac:dyDescent="0.2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</row>
    <row r="41" spans="1:15" x14ac:dyDescent="0.25">
      <c r="A41" s="86"/>
      <c r="B41" s="87" t="s">
        <v>242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</row>
    <row r="42" spans="1:15" x14ac:dyDescent="0.25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</row>
    <row r="43" spans="1:15" x14ac:dyDescent="0.25">
      <c r="A43" s="86"/>
      <c r="B43" s="86" t="s">
        <v>266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</row>
    <row r="44" spans="1:15" x14ac:dyDescent="0.25">
      <c r="A44" s="86"/>
      <c r="B44" s="86" t="s">
        <v>267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</row>
    <row r="45" spans="1:15" x14ac:dyDescent="0.25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  <row r="46" spans="1:15" x14ac:dyDescent="0.25">
      <c r="A46" s="86"/>
      <c r="B46" s="88" t="s">
        <v>243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</row>
    <row r="47" spans="1:15" x14ac:dyDescent="0.25">
      <c r="A47" s="86"/>
      <c r="B47" s="86"/>
      <c r="C47" s="86" t="s">
        <v>270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</row>
    <row r="48" spans="1:15" x14ac:dyDescent="0.25">
      <c r="A48" s="86"/>
      <c r="B48" s="90" t="s">
        <v>268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</row>
    <row r="49" spans="1:15" x14ac:dyDescent="0.25">
      <c r="A49" s="86"/>
      <c r="B49" s="86"/>
      <c r="C49" s="86" t="s">
        <v>271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</row>
    <row r="50" spans="1:15" x14ac:dyDescent="0.25">
      <c r="A50" s="86"/>
      <c r="B50" s="91" t="s">
        <v>269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1:15" x14ac:dyDescent="0.25">
      <c r="A51" s="86"/>
      <c r="B51" s="89" t="s">
        <v>244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</row>
    <row r="52" spans="1:15" x14ac:dyDescent="0.25">
      <c r="A52" s="86"/>
      <c r="B52" s="86"/>
      <c r="C52" s="86" t="s">
        <v>245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</row>
    <row r="53" spans="1:15" x14ac:dyDescent="0.25">
      <c r="A53" s="86"/>
      <c r="B53" s="86"/>
      <c r="C53" s="86" t="s">
        <v>246</v>
      </c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</row>
    <row r="54" spans="1:15" x14ac:dyDescent="0.25">
      <c r="A54" s="86"/>
      <c r="B54" s="86" t="s">
        <v>272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</row>
    <row r="55" spans="1:15" x14ac:dyDescent="0.2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</row>
    <row r="56" spans="1:15" x14ac:dyDescent="0.25">
      <c r="A56" s="86"/>
      <c r="B56" s="86" t="s">
        <v>274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</row>
    <row r="57" spans="1:15" x14ac:dyDescent="0.25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</row>
    <row r="58" spans="1:15" x14ac:dyDescent="0.25">
      <c r="A58" s="86"/>
      <c r="B58" s="86" t="s">
        <v>290</v>
      </c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</row>
    <row r="59" spans="1:15" x14ac:dyDescent="0.25">
      <c r="A59" s="86"/>
      <c r="B59" s="86"/>
      <c r="C59" s="86" t="s">
        <v>280</v>
      </c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</row>
    <row r="60" spans="1:15" x14ac:dyDescent="0.25">
      <c r="A60" s="86"/>
      <c r="B60" s="86"/>
      <c r="C60" s="86" t="s">
        <v>281</v>
      </c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</row>
    <row r="61" spans="1:15" x14ac:dyDescent="0.25">
      <c r="A61" s="86"/>
      <c r="B61" s="86"/>
      <c r="C61" s="86" t="s">
        <v>282</v>
      </c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</row>
    <row r="62" spans="1:15" x14ac:dyDescent="0.25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</row>
    <row r="63" spans="1:15" x14ac:dyDescent="0.25">
      <c r="A63" s="86"/>
      <c r="B63" s="86" t="s">
        <v>291</v>
      </c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</row>
    <row r="64" spans="1:15" x14ac:dyDescent="0.25">
      <c r="A64" s="86"/>
      <c r="B64" s="86"/>
      <c r="C64" s="86" t="s">
        <v>287</v>
      </c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</row>
    <row r="65" spans="1:15" x14ac:dyDescent="0.25">
      <c r="A65" s="86"/>
      <c r="B65" s="86"/>
      <c r="C65" s="86" t="s">
        <v>288</v>
      </c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</row>
    <row r="66" spans="1:15" x14ac:dyDescent="0.25">
      <c r="A66" s="86"/>
      <c r="B66" s="86"/>
      <c r="C66" s="86" t="s">
        <v>289</v>
      </c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</row>
    <row r="67" spans="1:15" x14ac:dyDescent="0.25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</row>
    <row r="68" spans="1:15" x14ac:dyDescent="0.25">
      <c r="A68" s="86"/>
      <c r="B68" s="86" t="s">
        <v>294</v>
      </c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</row>
    <row r="69" spans="1:15" x14ac:dyDescent="0.25">
      <c r="A69" s="86"/>
      <c r="B69" s="86"/>
      <c r="C69" s="86" t="s">
        <v>292</v>
      </c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</row>
    <row r="70" spans="1:15" x14ac:dyDescent="0.25">
      <c r="A70" s="86"/>
      <c r="B70" s="86"/>
      <c r="C70" s="86" t="s">
        <v>295</v>
      </c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</row>
    <row r="71" spans="1:15" x14ac:dyDescent="0.25">
      <c r="A71" s="86"/>
      <c r="B71" s="86"/>
      <c r="C71" s="86" t="s">
        <v>296</v>
      </c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</row>
    <row r="72" spans="1:15" x14ac:dyDescent="0.25">
      <c r="A72" s="86"/>
      <c r="B72" s="86"/>
      <c r="C72" s="86" t="s">
        <v>297</v>
      </c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</row>
    <row r="73" spans="1:15" x14ac:dyDescent="0.25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</row>
    <row r="74" spans="1:15" x14ac:dyDescent="0.25">
      <c r="A74" s="86"/>
      <c r="B74" s="86" t="s">
        <v>293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</row>
    <row r="75" spans="1:15" x14ac:dyDescent="0.25">
      <c r="A75" s="86"/>
      <c r="B75" s="86"/>
      <c r="C75" s="86" t="s">
        <v>298</v>
      </c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</row>
    <row r="76" spans="1:15" x14ac:dyDescent="0.25">
      <c r="A76" s="86"/>
      <c r="B76" s="86"/>
      <c r="C76" s="86" t="s">
        <v>299</v>
      </c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</row>
    <row r="77" spans="1:15" x14ac:dyDescent="0.25">
      <c r="A77" s="86"/>
      <c r="B77" s="86"/>
      <c r="C77" s="86" t="s">
        <v>300</v>
      </c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</row>
    <row r="78" spans="1:15" x14ac:dyDescent="0.25">
      <c r="A78" s="86"/>
      <c r="B78" s="86"/>
      <c r="C78" s="86" t="s">
        <v>301</v>
      </c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</row>
    <row r="79" spans="1:15" x14ac:dyDescent="0.25">
      <c r="A79" s="86"/>
      <c r="B79" s="86"/>
      <c r="C79" s="86" t="s">
        <v>302</v>
      </c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</row>
    <row r="80" spans="1:15" x14ac:dyDescent="0.25">
      <c r="A80" s="86"/>
      <c r="B80" s="86"/>
      <c r="C80" s="86" t="s">
        <v>303</v>
      </c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</row>
    <row r="81" spans="1:15" x14ac:dyDescent="0.25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</row>
    <row r="82" spans="1:15" x14ac:dyDescent="0.25">
      <c r="A82" s="86"/>
      <c r="B82" s="87" t="s">
        <v>247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</row>
    <row r="83" spans="1:15" x14ac:dyDescent="0.25">
      <c r="A83" s="86"/>
      <c r="B83" s="86" t="s">
        <v>248</v>
      </c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</row>
    <row r="84" spans="1:15" x14ac:dyDescent="0.25">
      <c r="A84" s="86"/>
      <c r="B84" s="86" t="s">
        <v>249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</row>
    <row r="85" spans="1:15" x14ac:dyDescent="0.25">
      <c r="A85" s="86"/>
      <c r="B85" s="86" t="s">
        <v>250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</row>
    <row r="86" spans="1:15" x14ac:dyDescent="0.25">
      <c r="A86" s="86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</row>
    <row r="87" spans="1:15" x14ac:dyDescent="0.25">
      <c r="A87" s="86"/>
      <c r="B87" s="87" t="s">
        <v>258</v>
      </c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</row>
    <row r="88" spans="1:15" x14ac:dyDescent="0.25">
      <c r="A88" s="86"/>
      <c r="B88" s="86" t="s">
        <v>251</v>
      </c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</row>
    <row r="89" spans="1:15" x14ac:dyDescent="0.25">
      <c r="A89" s="86"/>
      <c r="B89" s="86" t="s">
        <v>255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</row>
    <row r="90" spans="1:15" x14ac:dyDescent="0.25">
      <c r="A90" s="86"/>
      <c r="B90" s="86" t="s">
        <v>256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</row>
    <row r="91" spans="1:15" x14ac:dyDescent="0.25">
      <c r="A91" s="86"/>
      <c r="B91" s="86" t="s">
        <v>257</v>
      </c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</row>
  </sheetData>
  <sheetProtection algorithmName="SHA-512" hashValue="xEvEWpkAxIVNXwEZgfY9O5UKmxt2aW5Z234VPy+fXYY7Xq/o4DFq7a16P2s/H0bLyduujV3oOxIwJhD2+40x6g==" saltValue="j/Gc2TITepMuOfLB4I4Sgw==" spinCount="100000" sheet="1" objects="1" scenarios="1"/>
  <mergeCells count="3">
    <mergeCell ref="B2:M4"/>
    <mergeCell ref="B6:M6"/>
    <mergeCell ref="B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37F8B-8332-4868-9E07-A8FBFA618D3D}">
  <sheetPr codeName="Sheet2"/>
  <dimension ref="B1:BH173"/>
  <sheetViews>
    <sheetView showGridLines="0" zoomScaleNormal="100" workbookViewId="0">
      <pane ySplit="17" topLeftCell="A18" activePane="bottomLeft" state="frozen"/>
      <selection pane="bottomLeft"/>
    </sheetView>
  </sheetViews>
  <sheetFormatPr defaultRowHeight="13.2" x14ac:dyDescent="0.25"/>
  <cols>
    <col min="1" max="1" width="2.5546875" customWidth="1"/>
    <col min="2" max="2" width="8.44140625" customWidth="1"/>
    <col min="3" max="3" width="19.33203125" customWidth="1"/>
    <col min="4" max="4" width="8.88671875" customWidth="1"/>
    <col min="5" max="5" width="18.33203125" customWidth="1"/>
    <col min="6" max="6" width="9.77734375" bestFit="1" customWidth="1"/>
    <col min="7" max="7" width="16.109375" customWidth="1"/>
    <col min="8" max="8" width="17.33203125" bestFit="1" customWidth="1"/>
    <col min="9" max="9" width="8.44140625" bestFit="1" customWidth="1"/>
    <col min="10" max="10" width="9.44140625" customWidth="1"/>
    <col min="11" max="13" width="15.21875" bestFit="1" customWidth="1"/>
    <col min="14" max="14" width="16.109375" customWidth="1"/>
    <col min="15" max="15" width="17.33203125" customWidth="1"/>
    <col min="17" max="26" width="8.88671875" customWidth="1"/>
    <col min="27" max="28" width="15.21875" bestFit="1" customWidth="1"/>
    <col min="29" max="30" width="12.88671875" bestFit="1" customWidth="1"/>
    <col min="33" max="33" width="11.5546875" bestFit="1" customWidth="1"/>
    <col min="34" max="34" width="12.6640625" bestFit="1" customWidth="1"/>
    <col min="35" max="35" width="9.33203125" bestFit="1" customWidth="1"/>
    <col min="36" max="37" width="9.33203125" customWidth="1"/>
    <col min="38" max="38" width="12.44140625" bestFit="1" customWidth="1"/>
    <col min="39" max="40" width="8.88671875" customWidth="1"/>
    <col min="47" max="48" width="11.88671875" bestFit="1" customWidth="1"/>
    <col min="49" max="49" width="8.88671875" customWidth="1"/>
    <col min="50" max="50" width="9.88671875" bestFit="1" customWidth="1"/>
    <col min="51" max="52" width="14.33203125" customWidth="1"/>
    <col min="53" max="53" width="14.33203125" bestFit="1" customWidth="1"/>
    <col min="54" max="54" width="16.21875" bestFit="1" customWidth="1"/>
    <col min="55" max="60" width="12.88671875" customWidth="1"/>
  </cols>
  <sheetData>
    <row r="1" spans="2:46" ht="13.8" thickBot="1" x14ac:dyDescent="0.3"/>
    <row r="2" spans="2:46" x14ac:dyDescent="0.25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2:46" x14ac:dyDescent="0.25">
      <c r="B3" s="29" t="s">
        <v>1</v>
      </c>
      <c r="C3" s="93" t="s">
        <v>162</v>
      </c>
      <c r="D3" s="94"/>
      <c r="E3" s="8" t="s">
        <v>4</v>
      </c>
      <c r="F3" s="93"/>
      <c r="G3" s="98"/>
      <c r="H3" s="98"/>
      <c r="I3" s="42"/>
      <c r="J3" s="35"/>
      <c r="K3" s="35"/>
      <c r="L3" s="35"/>
      <c r="M3" s="41" t="s">
        <v>166</v>
      </c>
      <c r="N3" s="35"/>
      <c r="O3" s="36"/>
    </row>
    <row r="4" spans="2:46" x14ac:dyDescent="0.25">
      <c r="B4" s="29" t="s">
        <v>2</v>
      </c>
      <c r="C4" s="93" t="s">
        <v>163</v>
      </c>
      <c r="D4" s="94"/>
      <c r="E4" s="8" t="s">
        <v>5</v>
      </c>
      <c r="F4" s="93"/>
      <c r="G4" s="98"/>
      <c r="H4" s="98"/>
      <c r="I4" s="43"/>
      <c r="J4" s="27"/>
      <c r="K4" s="27"/>
      <c r="L4" s="27"/>
      <c r="M4" s="39" t="s">
        <v>254</v>
      </c>
      <c r="N4" s="27"/>
      <c r="O4" s="28"/>
    </row>
    <row r="5" spans="2:46" x14ac:dyDescent="0.25">
      <c r="B5" s="29" t="s">
        <v>3</v>
      </c>
      <c r="C5" s="95">
        <f ca="1">TODAY()</f>
        <v>45179</v>
      </c>
      <c r="D5" s="94"/>
      <c r="E5" s="8" t="s">
        <v>164</v>
      </c>
      <c r="F5" s="93" t="s">
        <v>165</v>
      </c>
      <c r="G5" s="98"/>
      <c r="H5" s="98"/>
      <c r="I5" s="43"/>
      <c r="J5" s="37"/>
      <c r="K5" s="37"/>
      <c r="L5" s="37"/>
      <c r="M5" s="40" t="s">
        <v>167</v>
      </c>
      <c r="N5" s="37"/>
      <c r="O5" s="38"/>
    </row>
    <row r="6" spans="2:46" ht="13.8" thickBot="1" x14ac:dyDescent="0.3">
      <c r="B6" s="30" t="s">
        <v>6</v>
      </c>
      <c r="C6" s="96"/>
      <c r="D6" s="97"/>
      <c r="E6" s="97"/>
      <c r="F6" s="97"/>
      <c r="G6" s="97"/>
      <c r="H6" s="97"/>
      <c r="I6" s="44"/>
      <c r="J6" s="79"/>
      <c r="K6" s="80"/>
      <c r="L6" s="80"/>
      <c r="M6" s="81" t="s">
        <v>168</v>
      </c>
      <c r="N6" s="80"/>
      <c r="O6" s="82"/>
    </row>
    <row r="7" spans="2:46" ht="13.8" thickBot="1" x14ac:dyDescent="0.3"/>
    <row r="8" spans="2:46" x14ac:dyDescent="0.25">
      <c r="B8" s="46" t="s">
        <v>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</row>
    <row r="9" spans="2:46" x14ac:dyDescent="0.25">
      <c r="B9" s="12"/>
      <c r="C9" s="34" t="s">
        <v>114</v>
      </c>
      <c r="G9" s="32" t="str">
        <f>IF(G87&gt;0,"Crash Period","Analysis Period")</f>
        <v>Crash Period</v>
      </c>
      <c r="H9" s="32" t="str">
        <f>IF(G87&gt;0,"Analysis Period","Alternate Scenario")</f>
        <v>Analysis Period</v>
      </c>
      <c r="I9" s="4"/>
      <c r="K9" s="34" t="s">
        <v>116</v>
      </c>
      <c r="N9" s="32" t="str">
        <f>G9</f>
        <v>Crash Period</v>
      </c>
      <c r="O9" s="33" t="str">
        <f>H9</f>
        <v>Analysis Period</v>
      </c>
    </row>
    <row r="10" spans="2:46" x14ac:dyDescent="0.25">
      <c r="B10" s="12"/>
      <c r="F10" s="8" t="s">
        <v>113</v>
      </c>
      <c r="G10" s="83">
        <f>IF(G$23&gt;0,G99*N10,"")</f>
        <v>22.101669694932824</v>
      </c>
      <c r="H10" s="83">
        <f>IF(H$23&gt;0,IF(G$87=0,H99*O10,O88),"")</f>
        <v>17.375815548707379</v>
      </c>
      <c r="M10" s="8" t="s">
        <v>113</v>
      </c>
      <c r="N10" s="83">
        <f>IF(G$23&gt;0,PRODUCT(G108:G116),"")</f>
        <v>1.7977695292730274</v>
      </c>
      <c r="O10" s="85">
        <f>IF(H$23&gt;0,PRODUCT(H108:H116),"")</f>
        <v>1.7977695292730274</v>
      </c>
    </row>
    <row r="11" spans="2:46" x14ac:dyDescent="0.25">
      <c r="B11" s="12"/>
      <c r="F11" s="8" t="s">
        <v>115</v>
      </c>
      <c r="G11" s="83">
        <f>IF(G$23&gt;0,G100*N11,"")</f>
        <v>49.375304469835491</v>
      </c>
      <c r="H11" s="83">
        <f>IF(H$23&gt;0,IF(G$87=0,H100*O11,O89),"")</f>
        <v>49.859816540263658</v>
      </c>
      <c r="M11" s="8" t="s">
        <v>115</v>
      </c>
      <c r="N11" s="83">
        <f>IF(G$23&gt;0,PRODUCT(G118:G126),"")</f>
        <v>1.5786758266467362</v>
      </c>
      <c r="O11" s="85">
        <f>IF(H$23&gt;0,PRODUCT(H118:H126),"")</f>
        <v>1.5786758266467362</v>
      </c>
    </row>
    <row r="12" spans="2:46" x14ac:dyDescent="0.25">
      <c r="B12" s="12"/>
      <c r="F12" s="8" t="s">
        <v>145</v>
      </c>
      <c r="G12" s="83">
        <f>IF(G$24&gt;0,G101*N12,"")</f>
        <v>1.183151585211109</v>
      </c>
      <c r="H12" s="83">
        <f>IF(H$24&gt;0,IF(G$87=0,H101*O12,O90),"")</f>
        <v>1.8234749986108068</v>
      </c>
      <c r="M12" s="8" t="s">
        <v>145</v>
      </c>
      <c r="N12" s="83">
        <f>IF(G$24&gt;0,IF(G$25="Non-reversible",PRODUCT(G128:G130),PRODUCT(G131:G133)),"")</f>
        <v>0.78577876157286053</v>
      </c>
      <c r="O12" s="85">
        <f>IF(H$24&gt;0,IF(H$25="Non-reversible",PRODUCT(H128:H130),PRODUCT(H131:H133)),"")</f>
        <v>0.78577876157286053</v>
      </c>
    </row>
    <row r="13" spans="2:46" x14ac:dyDescent="0.25">
      <c r="B13" s="12"/>
      <c r="F13" s="8" t="s">
        <v>121</v>
      </c>
      <c r="G13" s="83">
        <f>IF(G$23&gt;0,G102*N13,"")</f>
        <v>3.9371946152350756</v>
      </c>
      <c r="H13" s="83">
        <f>IF(H$23&gt;0,IF(G$87=0,H102*O13,O91),"")</f>
        <v>3.3899458741269797</v>
      </c>
      <c r="M13" s="8" t="s">
        <v>121</v>
      </c>
      <c r="N13" s="83">
        <f>IF(G$23&gt;0,PRODUCT(G135:G144),"")</f>
        <v>0.7479732026408904</v>
      </c>
      <c r="O13" s="85">
        <f>IF(H$23&gt;0,PRODUCT(H135:H144),"")</f>
        <v>0.7479732026408904</v>
      </c>
    </row>
    <row r="14" spans="2:46" x14ac:dyDescent="0.25">
      <c r="B14" s="12"/>
      <c r="F14" s="8" t="s">
        <v>122</v>
      </c>
      <c r="G14" s="83">
        <f>IF(G$23&gt;0,G103*N14,"")</f>
        <v>7.2085220669927992</v>
      </c>
      <c r="H14" s="83">
        <f>IF(H$23&gt;0,IF(G$87=0,H103*O14,O92),"")</f>
        <v>8.0008140241481538</v>
      </c>
      <c r="M14" s="8" t="s">
        <v>122</v>
      </c>
      <c r="N14" s="83">
        <f>IF(G$23&gt;0,PRODUCT(G146:G153),"")</f>
        <v>0.67483789012027429</v>
      </c>
      <c r="O14" s="85">
        <f>IF(H$23&gt;0,PRODUCT(H146:H153),"")</f>
        <v>0.67483789012027429</v>
      </c>
      <c r="AA14" t="s">
        <v>161</v>
      </c>
      <c r="AE14" t="s">
        <v>174</v>
      </c>
      <c r="AG14" t="s">
        <v>193</v>
      </c>
      <c r="AL14" t="s">
        <v>42</v>
      </c>
    </row>
    <row r="15" spans="2:46" x14ac:dyDescent="0.25">
      <c r="B15" s="12"/>
      <c r="F15" s="8" t="s">
        <v>146</v>
      </c>
      <c r="G15" s="83">
        <f>IF(G$24&gt;0,G104*N15,"")</f>
        <v>0.82512934086561429</v>
      </c>
      <c r="H15" s="83">
        <f>IF(H$24&gt;0,IF(G$87=0,H104*O15,O93),"")</f>
        <v>1.0582492047491219</v>
      </c>
      <c r="M15" s="8" t="s">
        <v>146</v>
      </c>
      <c r="N15" s="83">
        <f>IF(G$24&gt;0,IF(G$25="Non-reversible",PRODUCT(G155:G156),PRODUCT(G157:G158)),"")</f>
        <v>0.92844883937837053</v>
      </c>
      <c r="O15" s="85">
        <f>IF(H$24&gt;0,IF(H$25="Non-reversible",PRODUCT(H155:H156),PRODUCT(H157:H158)),"")</f>
        <v>0.92844883937837053</v>
      </c>
      <c r="AA15" t="s">
        <v>182</v>
      </c>
      <c r="AB15" t="s">
        <v>184</v>
      </c>
      <c r="AC15" t="s">
        <v>183</v>
      </c>
      <c r="AD15" t="s">
        <v>185</v>
      </c>
      <c r="AL15" t="s">
        <v>76</v>
      </c>
      <c r="AM15" t="s">
        <v>43</v>
      </c>
      <c r="AN15" t="s">
        <v>44</v>
      </c>
      <c r="AO15" t="s">
        <v>45</v>
      </c>
      <c r="AP15" t="s">
        <v>64</v>
      </c>
      <c r="AQ15" t="s">
        <v>72</v>
      </c>
      <c r="AR15" t="s">
        <v>73</v>
      </c>
      <c r="AS15" t="s">
        <v>74</v>
      </c>
      <c r="AT15" t="s">
        <v>46</v>
      </c>
    </row>
    <row r="16" spans="2:46" ht="13.8" thickBot="1" x14ac:dyDescent="0.3">
      <c r="B16" s="15"/>
      <c r="C16" s="17"/>
      <c r="D16" s="17"/>
      <c r="E16" s="17"/>
      <c r="F16" s="22" t="s">
        <v>123</v>
      </c>
      <c r="G16" s="84">
        <f>SUM(G10:G15)</f>
        <v>84.630971773072901</v>
      </c>
      <c r="H16" s="84">
        <f>SUM(H10:H15)</f>
        <v>81.508116190606103</v>
      </c>
      <c r="I16" s="16"/>
      <c r="J16" s="17"/>
      <c r="K16" s="17"/>
      <c r="L16" s="17"/>
      <c r="M16" s="22"/>
      <c r="N16" s="23"/>
      <c r="O16" s="24"/>
    </row>
    <row r="17" spans="2:60" ht="13.8" thickBot="1" x14ac:dyDescent="0.3"/>
    <row r="18" spans="2:60" ht="13.8" thickBot="1" x14ac:dyDescent="0.3">
      <c r="B18" s="49" t="s">
        <v>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  <c r="AU18" s="1" t="s">
        <v>418</v>
      </c>
      <c r="AV18" s="3"/>
      <c r="AX18" s="1" t="s">
        <v>139</v>
      </c>
      <c r="AY18" s="2"/>
      <c r="AZ18" s="2"/>
      <c r="BA18" s="2"/>
      <c r="BB18" s="2"/>
      <c r="BC18" s="2"/>
      <c r="BD18" s="2"/>
      <c r="BE18" s="2"/>
      <c r="BF18" s="2"/>
      <c r="BG18" s="2"/>
      <c r="BH18" s="3"/>
    </row>
    <row r="19" spans="2:60" ht="16.2" thickBot="1" x14ac:dyDescent="0.4">
      <c r="AU19" s="6" t="s">
        <v>419</v>
      </c>
      <c r="AV19" s="77" t="s">
        <v>309</v>
      </c>
      <c r="AX19" s="6" t="s">
        <v>54</v>
      </c>
      <c r="AY19" s="7" t="s">
        <v>48</v>
      </c>
      <c r="AZ19" s="7" t="s">
        <v>13</v>
      </c>
      <c r="BA19" s="7" t="s">
        <v>10</v>
      </c>
      <c r="BB19" s="7" t="s">
        <v>50</v>
      </c>
      <c r="BC19" s="132" t="s">
        <v>43</v>
      </c>
      <c r="BD19" s="132" t="s">
        <v>44</v>
      </c>
      <c r="BE19" s="132" t="s">
        <v>45</v>
      </c>
      <c r="BF19" s="132" t="s">
        <v>240</v>
      </c>
      <c r="BG19" s="132" t="s">
        <v>47</v>
      </c>
      <c r="BH19" s="133" t="s">
        <v>232</v>
      </c>
    </row>
    <row r="20" spans="2:60" x14ac:dyDescent="0.25">
      <c r="B20" s="46" t="s">
        <v>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  <c r="AU20" s="1" t="s">
        <v>310</v>
      </c>
      <c r="AV20" s="3" t="s">
        <v>310</v>
      </c>
      <c r="AX20" s="4" t="s">
        <v>55</v>
      </c>
      <c r="AY20" t="s">
        <v>49</v>
      </c>
      <c r="AZ20" t="s">
        <v>51</v>
      </c>
      <c r="BA20">
        <v>4</v>
      </c>
      <c r="BB20" t="str">
        <f>AX20&amp;","&amp;AY20&amp;","&amp;AZ20&amp;","&amp;BA20</f>
        <v>MV,FI,Rural,4</v>
      </c>
      <c r="BC20" s="111">
        <v>-5.9749999999999996</v>
      </c>
      <c r="BD20" s="111">
        <v>1.492</v>
      </c>
      <c r="BE20" s="111">
        <v>1E-3</v>
      </c>
      <c r="BF20" s="111">
        <v>0.96</v>
      </c>
      <c r="BG20" s="112">
        <f>1/17.6</f>
        <v>5.6818181818181816E-2</v>
      </c>
      <c r="BH20" s="113">
        <v>1.32</v>
      </c>
    </row>
    <row r="21" spans="2:60" x14ac:dyDescent="0.25">
      <c r="B21" s="12" t="s">
        <v>13</v>
      </c>
      <c r="G21" s="99" t="s">
        <v>52</v>
      </c>
      <c r="H21" s="99" t="s">
        <v>52</v>
      </c>
      <c r="O21" s="14"/>
      <c r="AG21" t="s">
        <v>51</v>
      </c>
      <c r="AH21" t="s">
        <v>52</v>
      </c>
      <c r="AU21" s="4" t="s">
        <v>420</v>
      </c>
      <c r="AV21" s="5" t="s">
        <v>314</v>
      </c>
      <c r="AX21" s="4" t="s">
        <v>55</v>
      </c>
      <c r="AY21" t="s">
        <v>49</v>
      </c>
      <c r="AZ21" t="s">
        <v>51</v>
      </c>
      <c r="BA21">
        <v>6</v>
      </c>
      <c r="BB21" t="str">
        <f t="shared" ref="BB21:BB23" si="0">AX21&amp;","&amp;AY21&amp;","&amp;AZ21&amp;","&amp;BA21</f>
        <v>MV,FI,Rural,6</v>
      </c>
      <c r="BC21" s="111">
        <v>-6.0919999999999996</v>
      </c>
      <c r="BD21" s="111">
        <v>1.492</v>
      </c>
      <c r="BE21" s="111">
        <v>1E-3</v>
      </c>
      <c r="BF21" s="111">
        <v>0.96</v>
      </c>
      <c r="BG21" s="112">
        <f t="shared" ref="BG21:BG22" si="1">1/17.6</f>
        <v>5.6818181818181816E-2</v>
      </c>
      <c r="BH21" s="113">
        <v>1.9</v>
      </c>
    </row>
    <row r="22" spans="2:60" x14ac:dyDescent="0.25">
      <c r="B22" s="12" t="s">
        <v>445</v>
      </c>
      <c r="G22" s="99" t="s">
        <v>310</v>
      </c>
      <c r="H22" s="99" t="s">
        <v>310</v>
      </c>
      <c r="I22" s="65" t="str">
        <f>IF(OR(AND(G21=AH21,G22&lt;&gt;AU20),AND(H21=AH21,H22&lt;&gt;AU20)),"The calculations provided are based on region adjustment factors for rural freeways.","")</f>
        <v/>
      </c>
      <c r="O22" s="14"/>
      <c r="AU22" s="4" t="s">
        <v>421</v>
      </c>
      <c r="AV22" s="5" t="s">
        <v>314</v>
      </c>
      <c r="AX22" s="4" t="s">
        <v>55</v>
      </c>
      <c r="AY22" t="s">
        <v>49</v>
      </c>
      <c r="AZ22" t="s">
        <v>51</v>
      </c>
      <c r="BA22">
        <v>8</v>
      </c>
      <c r="BB22" t="str">
        <f t="shared" si="0"/>
        <v>MV,FI,Rural,8</v>
      </c>
      <c r="BC22" s="111">
        <v>-6.14</v>
      </c>
      <c r="BD22" s="111">
        <v>1.492</v>
      </c>
      <c r="BE22" s="111">
        <v>1E-3</v>
      </c>
      <c r="BF22" s="111">
        <v>1</v>
      </c>
      <c r="BG22" s="112">
        <f t="shared" si="1"/>
        <v>5.6818181818181816E-2</v>
      </c>
      <c r="BH22" s="113">
        <v>1</v>
      </c>
    </row>
    <row r="23" spans="2:60" x14ac:dyDescent="0.25">
      <c r="B23" s="12" t="s">
        <v>11</v>
      </c>
      <c r="G23" s="100">
        <v>8</v>
      </c>
      <c r="H23" s="100">
        <v>8</v>
      </c>
      <c r="O23" s="14"/>
      <c r="AL23">
        <v>0</v>
      </c>
      <c r="AM23">
        <v>4</v>
      </c>
      <c r="AN23">
        <v>6</v>
      </c>
      <c r="AO23">
        <v>8</v>
      </c>
      <c r="AP23">
        <f>IF(G21="Urban",10,"")</f>
        <v>10</v>
      </c>
      <c r="AQ23">
        <f>IF(G21="Urban",12,"")</f>
        <v>12</v>
      </c>
      <c r="AU23" s="4" t="s">
        <v>422</v>
      </c>
      <c r="AV23" s="5" t="s">
        <v>311</v>
      </c>
      <c r="AX23" s="4" t="s">
        <v>55</v>
      </c>
      <c r="AY23" t="s">
        <v>49</v>
      </c>
      <c r="AZ23" t="s">
        <v>52</v>
      </c>
      <c r="BA23">
        <v>4</v>
      </c>
      <c r="BB23" t="str">
        <f t="shared" si="0"/>
        <v>MV,FI,Urban,4</v>
      </c>
      <c r="BC23" s="111">
        <v>-5.47</v>
      </c>
      <c r="BD23" s="111">
        <v>1.492</v>
      </c>
      <c r="BE23" s="111">
        <v>1E-3</v>
      </c>
      <c r="BF23" s="111">
        <v>0.65</v>
      </c>
      <c r="BG23" s="112">
        <v>0.24</v>
      </c>
      <c r="BH23" s="113">
        <v>2.1800000000000002</v>
      </c>
    </row>
    <row r="24" spans="2:60" x14ac:dyDescent="0.25">
      <c r="B24" s="12" t="s">
        <v>12</v>
      </c>
      <c r="G24" s="100">
        <v>1</v>
      </c>
      <c r="H24" s="100">
        <v>1</v>
      </c>
      <c r="O24" s="14"/>
      <c r="AE24">
        <f>IF(G24&gt;0,1,0)</f>
        <v>1</v>
      </c>
      <c r="AF24">
        <f>IF(H24&gt;0,1,0)</f>
        <v>1</v>
      </c>
      <c r="AL24">
        <v>0</v>
      </c>
      <c r="AM24">
        <v>1</v>
      </c>
      <c r="AN24">
        <v>2</v>
      </c>
      <c r="AO24">
        <v>3</v>
      </c>
      <c r="AP24">
        <v>4</v>
      </c>
      <c r="AQ24">
        <v>5</v>
      </c>
      <c r="AR24">
        <v>6</v>
      </c>
      <c r="AU24" s="4" t="s">
        <v>423</v>
      </c>
      <c r="AV24" s="5" t="s">
        <v>313</v>
      </c>
      <c r="AX24" s="4" t="s">
        <v>55</v>
      </c>
      <c r="AY24" t="s">
        <v>49</v>
      </c>
      <c r="AZ24" t="s">
        <v>52</v>
      </c>
      <c r="BA24">
        <v>6</v>
      </c>
      <c r="BB24" t="str">
        <f t="shared" ref="BB24:BB36" si="2">AX24&amp;","&amp;AY24&amp;","&amp;AZ24&amp;","&amp;BA24</f>
        <v>MV,FI,Urban,6</v>
      </c>
      <c r="BC24" s="111">
        <v>-5.5869999999999997</v>
      </c>
      <c r="BD24" s="111">
        <v>1.492</v>
      </c>
      <c r="BE24" s="111">
        <v>1E-3</v>
      </c>
      <c r="BF24" s="111">
        <v>0.95</v>
      </c>
      <c r="BG24" s="112">
        <v>0.16</v>
      </c>
      <c r="BH24" s="113">
        <v>1.86</v>
      </c>
    </row>
    <row r="25" spans="2:60" x14ac:dyDescent="0.25">
      <c r="B25" s="12" t="s">
        <v>132</v>
      </c>
      <c r="G25" s="99" t="s">
        <v>133</v>
      </c>
      <c r="H25" s="99" t="s">
        <v>133</v>
      </c>
      <c r="O25" s="14"/>
      <c r="AE25">
        <f>AE24</f>
        <v>1</v>
      </c>
      <c r="AF25">
        <f t="shared" ref="AF25:AF26" si="3">AF24</f>
        <v>1</v>
      </c>
      <c r="AG25" t="s">
        <v>105</v>
      </c>
      <c r="AH25" t="s">
        <v>133</v>
      </c>
      <c r="AI25" t="s">
        <v>134</v>
      </c>
      <c r="AU25" s="4" t="s">
        <v>424</v>
      </c>
      <c r="AV25" s="5" t="s">
        <v>312</v>
      </c>
      <c r="AX25" s="4" t="s">
        <v>55</v>
      </c>
      <c r="AY25" t="s">
        <v>49</v>
      </c>
      <c r="AZ25" t="s">
        <v>52</v>
      </c>
      <c r="BA25">
        <v>8</v>
      </c>
      <c r="BB25" t="str">
        <f t="shared" si="2"/>
        <v>MV,FI,Urban,8</v>
      </c>
      <c r="BC25" s="111">
        <v>-5.6349999999999998</v>
      </c>
      <c r="BD25" s="111">
        <v>1.492</v>
      </c>
      <c r="BE25" s="111">
        <v>1E-3</v>
      </c>
      <c r="BF25" s="111">
        <v>1.27</v>
      </c>
      <c r="BG25" s="112">
        <v>0.09</v>
      </c>
      <c r="BH25" s="113">
        <v>1.64</v>
      </c>
    </row>
    <row r="26" spans="2:60" x14ac:dyDescent="0.25">
      <c r="B26" s="12" t="s">
        <v>135</v>
      </c>
      <c r="G26" s="99" t="s">
        <v>136</v>
      </c>
      <c r="H26" s="99" t="s">
        <v>136</v>
      </c>
      <c r="O26" s="14"/>
      <c r="AE26">
        <f t="shared" ref="AE26" si="4">AE25</f>
        <v>1</v>
      </c>
      <c r="AF26">
        <f t="shared" si="3"/>
        <v>1</v>
      </c>
      <c r="AG26" t="s">
        <v>137</v>
      </c>
      <c r="AH26" t="s">
        <v>138</v>
      </c>
      <c r="AI26" t="s">
        <v>136</v>
      </c>
      <c r="AU26" s="4" t="s">
        <v>425</v>
      </c>
      <c r="AV26" s="5" t="s">
        <v>311</v>
      </c>
      <c r="AX26" s="4" t="s">
        <v>55</v>
      </c>
      <c r="AY26" t="s">
        <v>49</v>
      </c>
      <c r="AZ26" t="s">
        <v>52</v>
      </c>
      <c r="BA26">
        <v>10</v>
      </c>
      <c r="BB26" t="str">
        <f t="shared" si="2"/>
        <v>MV,FI,Urban,10</v>
      </c>
      <c r="BC26" s="111">
        <v>-5.8419999999999996</v>
      </c>
      <c r="BD26" s="111">
        <v>1.492</v>
      </c>
      <c r="BE26" s="111">
        <v>1E-3</v>
      </c>
      <c r="BF26" s="111">
        <v>1.41</v>
      </c>
      <c r="BG26" s="112">
        <v>0.01</v>
      </c>
      <c r="BH26" s="113">
        <v>1.8</v>
      </c>
    </row>
    <row r="27" spans="2:60" ht="13.8" thickBot="1" x14ac:dyDescent="0.3">
      <c r="B27" s="15" t="s">
        <v>14</v>
      </c>
      <c r="C27" s="17"/>
      <c r="D27" s="17"/>
      <c r="E27" s="17"/>
      <c r="F27" s="17"/>
      <c r="G27" s="101">
        <v>1</v>
      </c>
      <c r="H27" s="101">
        <v>1</v>
      </c>
      <c r="I27" s="17"/>
      <c r="J27" s="17"/>
      <c r="K27" s="17"/>
      <c r="L27" s="17"/>
      <c r="M27" s="17"/>
      <c r="N27" s="17"/>
      <c r="O27" s="19"/>
      <c r="AU27" s="4" t="s">
        <v>426</v>
      </c>
      <c r="AV27" s="5" t="s">
        <v>312</v>
      </c>
      <c r="AX27" s="4" t="s">
        <v>55</v>
      </c>
      <c r="AY27" t="s">
        <v>49</v>
      </c>
      <c r="AZ27" t="s">
        <v>52</v>
      </c>
      <c r="BA27">
        <v>12</v>
      </c>
      <c r="BB27" t="str">
        <f t="shared" si="2"/>
        <v>MV,FI,Urban,12</v>
      </c>
      <c r="BC27" s="111">
        <v>-5.8419999999999996</v>
      </c>
      <c r="BD27" s="111">
        <v>1.492</v>
      </c>
      <c r="BE27" s="111">
        <v>1E-3</v>
      </c>
      <c r="BF27" s="111">
        <v>1.1299999999999999</v>
      </c>
      <c r="BG27" s="112">
        <v>0.02</v>
      </c>
      <c r="BH27" s="113">
        <v>1.8</v>
      </c>
    </row>
    <row r="28" spans="2:60" ht="13.8" thickBot="1" x14ac:dyDescent="0.3">
      <c r="AU28" s="4" t="s">
        <v>427</v>
      </c>
      <c r="AV28" s="5" t="s">
        <v>314</v>
      </c>
      <c r="AX28" s="4" t="s">
        <v>55</v>
      </c>
      <c r="AY28" t="s">
        <v>53</v>
      </c>
      <c r="AZ28" t="s">
        <v>51</v>
      </c>
      <c r="BA28">
        <v>4</v>
      </c>
      <c r="BB28" t="str">
        <f t="shared" si="2"/>
        <v>MV,PDO,Rural,4</v>
      </c>
      <c r="BC28" s="111">
        <v>-6.88</v>
      </c>
      <c r="BD28" s="111">
        <v>1.9359999999999999</v>
      </c>
      <c r="BE28" s="111">
        <v>1E-3</v>
      </c>
      <c r="BF28" s="111">
        <v>0.96</v>
      </c>
      <c r="BG28" s="112">
        <f>1/18.8</f>
        <v>5.3191489361702128E-2</v>
      </c>
      <c r="BH28" s="124" t="s">
        <v>316</v>
      </c>
    </row>
    <row r="29" spans="2:60" x14ac:dyDescent="0.25">
      <c r="B29" s="46" t="s">
        <v>15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  <c r="AU29" s="4" t="s">
        <v>428</v>
      </c>
      <c r="AV29" s="5" t="s">
        <v>313</v>
      </c>
      <c r="AX29" s="4" t="s">
        <v>55</v>
      </c>
      <c r="AY29" t="s">
        <v>53</v>
      </c>
      <c r="AZ29" t="s">
        <v>51</v>
      </c>
      <c r="BA29">
        <v>6</v>
      </c>
      <c r="BB29" t="str">
        <f t="shared" si="2"/>
        <v>MV,PDO,Rural,6</v>
      </c>
      <c r="BC29" s="111">
        <v>-7.141</v>
      </c>
      <c r="BD29" s="111">
        <v>1.9359999999999999</v>
      </c>
      <c r="BE29" s="111">
        <v>1E-3</v>
      </c>
      <c r="BF29" s="111">
        <v>0.96</v>
      </c>
      <c r="BG29" s="112">
        <f t="shared" ref="BG29:BG30" si="5">1/18.8</f>
        <v>5.3191489361702128E-2</v>
      </c>
      <c r="BH29" s="124" t="s">
        <v>316</v>
      </c>
    </row>
    <row r="30" spans="2:60" x14ac:dyDescent="0.25">
      <c r="B30" s="52" t="s">
        <v>95</v>
      </c>
      <c r="O30" s="14"/>
      <c r="AU30" s="4" t="s">
        <v>429</v>
      </c>
      <c r="AV30" s="5" t="s">
        <v>311</v>
      </c>
      <c r="AX30" s="4" t="s">
        <v>55</v>
      </c>
      <c r="AY30" t="s">
        <v>53</v>
      </c>
      <c r="AZ30" t="s">
        <v>51</v>
      </c>
      <c r="BA30">
        <v>8</v>
      </c>
      <c r="BB30" t="str">
        <f t="shared" si="2"/>
        <v>MV,PDO,Rural,8</v>
      </c>
      <c r="BC30" s="111">
        <v>-7.3289999999999997</v>
      </c>
      <c r="BD30" s="111">
        <v>1.9359999999999999</v>
      </c>
      <c r="BE30" s="111">
        <v>1E-3</v>
      </c>
      <c r="BF30" s="111">
        <v>1</v>
      </c>
      <c r="BG30" s="112">
        <f t="shared" si="5"/>
        <v>5.3191489361702128E-2</v>
      </c>
      <c r="BH30" s="124" t="s">
        <v>316</v>
      </c>
    </row>
    <row r="31" spans="2:60" ht="15.6" x14ac:dyDescent="0.35">
      <c r="B31" s="12" t="s">
        <v>408</v>
      </c>
      <c r="F31" t="s">
        <v>195</v>
      </c>
      <c r="G31" s="100">
        <v>0.1</v>
      </c>
      <c r="H31" s="100">
        <v>0.1</v>
      </c>
      <c r="J31" s="76" t="s">
        <v>404</v>
      </c>
      <c r="O31" s="14"/>
      <c r="AU31" s="4" t="s">
        <v>430</v>
      </c>
      <c r="AV31" s="5" t="s">
        <v>314</v>
      </c>
      <c r="AX31" s="4" t="s">
        <v>55</v>
      </c>
      <c r="AY31" t="s">
        <v>53</v>
      </c>
      <c r="AZ31" t="s">
        <v>52</v>
      </c>
      <c r="BA31">
        <v>4</v>
      </c>
      <c r="BB31" t="str">
        <f t="shared" si="2"/>
        <v>MV,PDO,Urban,4</v>
      </c>
      <c r="BC31" s="111">
        <v>-6.548</v>
      </c>
      <c r="BD31" s="111">
        <v>1.9359999999999999</v>
      </c>
      <c r="BE31" s="111">
        <v>1E-3</v>
      </c>
      <c r="BF31" s="111">
        <v>0.56999999999999995</v>
      </c>
      <c r="BG31" s="112">
        <v>0.37</v>
      </c>
      <c r="BH31" s="124" t="s">
        <v>316</v>
      </c>
    </row>
    <row r="32" spans="2:60" ht="15.6" x14ac:dyDescent="0.35">
      <c r="B32" s="12"/>
      <c r="F32" t="s">
        <v>196</v>
      </c>
      <c r="G32" s="100">
        <v>0.1</v>
      </c>
      <c r="H32" s="100">
        <v>0.1</v>
      </c>
      <c r="J32" t="s">
        <v>405</v>
      </c>
      <c r="O32" s="14"/>
      <c r="AU32" s="4" t="s">
        <v>431</v>
      </c>
      <c r="AV32" s="5" t="s">
        <v>311</v>
      </c>
      <c r="AX32" s="4" t="s">
        <v>55</v>
      </c>
      <c r="AY32" t="s">
        <v>53</v>
      </c>
      <c r="AZ32" t="s">
        <v>52</v>
      </c>
      <c r="BA32">
        <v>6</v>
      </c>
      <c r="BB32" t="str">
        <f t="shared" si="2"/>
        <v>MV,PDO,Urban,6</v>
      </c>
      <c r="BC32" s="111">
        <v>-6.8090000000000002</v>
      </c>
      <c r="BD32" s="111">
        <v>1.9359999999999999</v>
      </c>
      <c r="BE32" s="111">
        <v>1E-3</v>
      </c>
      <c r="BF32" s="111">
        <v>0.71</v>
      </c>
      <c r="BG32" s="112">
        <v>0.18</v>
      </c>
      <c r="BH32" s="124" t="s">
        <v>316</v>
      </c>
    </row>
    <row r="33" spans="2:60" ht="15.6" x14ac:dyDescent="0.35">
      <c r="B33" s="12" t="s">
        <v>409</v>
      </c>
      <c r="F33" t="s">
        <v>197</v>
      </c>
      <c r="G33" s="100">
        <v>0.15</v>
      </c>
      <c r="H33" s="100">
        <v>0.15</v>
      </c>
      <c r="J33" t="s">
        <v>406</v>
      </c>
      <c r="N33" t="s">
        <v>407</v>
      </c>
      <c r="O33" s="14"/>
      <c r="AU33" s="4" t="s">
        <v>432</v>
      </c>
      <c r="AV33" s="5" t="s">
        <v>312</v>
      </c>
      <c r="AX33" s="4" t="s">
        <v>55</v>
      </c>
      <c r="AY33" t="s">
        <v>53</v>
      </c>
      <c r="AZ33" t="s">
        <v>52</v>
      </c>
      <c r="BA33">
        <v>8</v>
      </c>
      <c r="BB33" t="str">
        <f t="shared" si="2"/>
        <v>MV,PDO,Urban,8</v>
      </c>
      <c r="BC33" s="111">
        <v>-6.9969999999999999</v>
      </c>
      <c r="BD33" s="111">
        <v>1.9359999999999999</v>
      </c>
      <c r="BE33" s="111">
        <v>1E-3</v>
      </c>
      <c r="BF33" s="111">
        <v>1.2</v>
      </c>
      <c r="BG33" s="112">
        <v>7.0000000000000007E-2</v>
      </c>
      <c r="BH33" s="124" t="s">
        <v>316</v>
      </c>
    </row>
    <row r="34" spans="2:60" ht="15.6" x14ac:dyDescent="0.35">
      <c r="B34" s="54"/>
      <c r="C34" s="7"/>
      <c r="D34" s="7"/>
      <c r="E34" s="7"/>
      <c r="F34" s="7" t="s">
        <v>198</v>
      </c>
      <c r="G34" s="100">
        <v>0.15</v>
      </c>
      <c r="H34" s="100">
        <v>0.15</v>
      </c>
      <c r="I34" s="7"/>
      <c r="J34" s="7"/>
      <c r="K34" s="7"/>
      <c r="L34" s="7"/>
      <c r="M34" s="7"/>
      <c r="N34" s="7"/>
      <c r="O34" s="31"/>
      <c r="AU34" s="4" t="s">
        <v>433</v>
      </c>
      <c r="AV34" s="5" t="s">
        <v>313</v>
      </c>
      <c r="AX34" s="4" t="s">
        <v>55</v>
      </c>
      <c r="AY34" t="s">
        <v>53</v>
      </c>
      <c r="AZ34" t="s">
        <v>52</v>
      </c>
      <c r="BA34">
        <v>10</v>
      </c>
      <c r="BB34" t="str">
        <f t="shared" si="2"/>
        <v>MV,PDO,Urban,10</v>
      </c>
      <c r="BC34" s="111">
        <v>-7.26</v>
      </c>
      <c r="BD34" s="111">
        <v>1.9359999999999999</v>
      </c>
      <c r="BE34" s="111">
        <v>1E-3</v>
      </c>
      <c r="BF34" s="111">
        <v>1.3</v>
      </c>
      <c r="BG34" s="112">
        <v>0.01</v>
      </c>
      <c r="BH34" s="124" t="s">
        <v>316</v>
      </c>
    </row>
    <row r="35" spans="2:60" x14ac:dyDescent="0.25">
      <c r="B35" s="12" t="s">
        <v>179</v>
      </c>
      <c r="D35" t="s">
        <v>92</v>
      </c>
      <c r="G35" s="102" t="s">
        <v>94</v>
      </c>
      <c r="H35" s="102" t="s">
        <v>94</v>
      </c>
      <c r="O35" s="14"/>
      <c r="AE35">
        <f>IF(G35=$AI35,0,1)</f>
        <v>1</v>
      </c>
      <c r="AF35">
        <f>IF(H35=$AI35,0,1)</f>
        <v>1</v>
      </c>
      <c r="AG35" t="s">
        <v>94</v>
      </c>
      <c r="AH35" t="s">
        <v>104</v>
      </c>
      <c r="AI35" t="s">
        <v>175</v>
      </c>
      <c r="AU35" s="4" t="s">
        <v>434</v>
      </c>
      <c r="AV35" s="5" t="s">
        <v>314</v>
      </c>
      <c r="AX35" s="4" t="s">
        <v>55</v>
      </c>
      <c r="AY35" t="s">
        <v>53</v>
      </c>
      <c r="AZ35" t="s">
        <v>52</v>
      </c>
      <c r="BA35">
        <v>12</v>
      </c>
      <c r="BB35" t="str">
        <f t="shared" si="2"/>
        <v>MV,PDO,Urban,12</v>
      </c>
      <c r="BC35" s="111">
        <v>-7.26</v>
      </c>
      <c r="BD35" s="111">
        <v>1.9359999999999999</v>
      </c>
      <c r="BE35" s="111">
        <v>1E-3</v>
      </c>
      <c r="BF35" s="111">
        <v>1.04</v>
      </c>
      <c r="BG35" s="112">
        <v>0.01</v>
      </c>
      <c r="BH35" s="124" t="s">
        <v>316</v>
      </c>
    </row>
    <row r="36" spans="2:60" ht="15.6" x14ac:dyDescent="0.35">
      <c r="B36" s="12" t="s">
        <v>178</v>
      </c>
      <c r="D36" t="s">
        <v>176</v>
      </c>
      <c r="F36" t="s">
        <v>199</v>
      </c>
      <c r="G36" s="100">
        <v>0.2</v>
      </c>
      <c r="H36" s="100">
        <v>0.2</v>
      </c>
      <c r="J36" s="76" t="s">
        <v>224</v>
      </c>
      <c r="O36" s="14"/>
      <c r="AE36">
        <f>AE35</f>
        <v>1</v>
      </c>
      <c r="AF36">
        <f t="shared" ref="AF36:AF38" si="6">AF35</f>
        <v>1</v>
      </c>
      <c r="AU36" s="4" t="s">
        <v>435</v>
      </c>
      <c r="AV36" s="5" t="s">
        <v>312</v>
      </c>
      <c r="AX36" s="4" t="s">
        <v>56</v>
      </c>
      <c r="AY36" t="s">
        <v>49</v>
      </c>
      <c r="AZ36" t="s">
        <v>51</v>
      </c>
      <c r="BA36">
        <v>4</v>
      </c>
      <c r="BB36" t="str">
        <f t="shared" si="2"/>
        <v>SV,FI,Rural,4</v>
      </c>
      <c r="BC36" s="111">
        <v>-2.1259999999999999</v>
      </c>
      <c r="BD36" s="111">
        <v>0.64600000000000002</v>
      </c>
      <c r="BE36" s="111">
        <v>1E-3</v>
      </c>
      <c r="BF36" s="111">
        <v>0.65</v>
      </c>
      <c r="BG36" s="112">
        <f>1/30.1</f>
        <v>3.3222591362126241E-2</v>
      </c>
      <c r="BH36" s="113">
        <v>1.32</v>
      </c>
    </row>
    <row r="37" spans="2:60" ht="15.6" x14ac:dyDescent="0.35">
      <c r="B37" s="12"/>
      <c r="D37" t="s">
        <v>93</v>
      </c>
      <c r="F37" t="s">
        <v>200</v>
      </c>
      <c r="G37" s="100">
        <v>1</v>
      </c>
      <c r="H37" s="100">
        <v>1</v>
      </c>
      <c r="O37" s="14"/>
      <c r="AE37">
        <f>AE36</f>
        <v>1</v>
      </c>
      <c r="AF37">
        <f t="shared" si="6"/>
        <v>1</v>
      </c>
      <c r="AG37">
        <v>1</v>
      </c>
      <c r="AH37">
        <v>2</v>
      </c>
      <c r="AU37" s="4" t="s">
        <v>436</v>
      </c>
      <c r="AV37" s="5" t="s">
        <v>314</v>
      </c>
      <c r="AX37" s="4" t="s">
        <v>56</v>
      </c>
      <c r="AY37" t="s">
        <v>49</v>
      </c>
      <c r="AZ37" t="s">
        <v>51</v>
      </c>
      <c r="BA37">
        <v>6</v>
      </c>
      <c r="BB37" t="str">
        <f t="shared" ref="BB37:BB41" si="7">AX37&amp;","&amp;AY37&amp;","&amp;AZ37&amp;","&amp;BA37</f>
        <v>SV,FI,Rural,6</v>
      </c>
      <c r="BC37" s="111">
        <v>-2.0550000000000002</v>
      </c>
      <c r="BD37" s="111">
        <v>0.64600000000000002</v>
      </c>
      <c r="BE37" s="111">
        <v>1E-3</v>
      </c>
      <c r="BF37" s="111">
        <v>0.65</v>
      </c>
      <c r="BG37" s="112">
        <f t="shared" ref="BG37:BG38" si="8">1/30.1</f>
        <v>3.3222591362126241E-2</v>
      </c>
      <c r="BH37" s="113">
        <v>1.9</v>
      </c>
    </row>
    <row r="38" spans="2:60" ht="15.6" x14ac:dyDescent="0.35">
      <c r="B38" s="54"/>
      <c r="C38" s="7"/>
      <c r="D38" s="7" t="s">
        <v>177</v>
      </c>
      <c r="E38" s="7"/>
      <c r="F38" s="7" t="s">
        <v>201</v>
      </c>
      <c r="G38" s="103"/>
      <c r="H38" s="103"/>
      <c r="I38" s="4"/>
      <c r="O38" s="14"/>
      <c r="AE38">
        <f>AE37</f>
        <v>1</v>
      </c>
      <c r="AF38">
        <f t="shared" si="6"/>
        <v>1</v>
      </c>
      <c r="AU38" s="4" t="s">
        <v>437</v>
      </c>
      <c r="AV38" s="5" t="s">
        <v>311</v>
      </c>
      <c r="AX38" s="4" t="s">
        <v>56</v>
      </c>
      <c r="AY38" t="s">
        <v>49</v>
      </c>
      <c r="AZ38" t="s">
        <v>51</v>
      </c>
      <c r="BA38">
        <v>8</v>
      </c>
      <c r="BB38" t="str">
        <f t="shared" si="7"/>
        <v>SV,FI,Rural,8</v>
      </c>
      <c r="BC38" s="111">
        <v>-1.9850000000000001</v>
      </c>
      <c r="BD38" s="111">
        <v>0.64600000000000002</v>
      </c>
      <c r="BE38" s="111">
        <v>1E-3</v>
      </c>
      <c r="BF38" s="111">
        <v>1</v>
      </c>
      <c r="BG38" s="112">
        <f t="shared" si="8"/>
        <v>3.3222591362126241E-2</v>
      </c>
      <c r="BH38" s="113">
        <v>1</v>
      </c>
    </row>
    <row r="39" spans="2:60" x14ac:dyDescent="0.25">
      <c r="B39" s="12" t="s">
        <v>180</v>
      </c>
      <c r="D39" t="s">
        <v>92</v>
      </c>
      <c r="G39" s="102" t="s">
        <v>94</v>
      </c>
      <c r="H39" s="102" t="s">
        <v>94</v>
      </c>
      <c r="I39" s="4"/>
      <c r="O39" s="14"/>
      <c r="AE39">
        <f>IF(G39=$AI39,0,1)</f>
        <v>1</v>
      </c>
      <c r="AF39">
        <f>IF(H39=$AI39,0,1)</f>
        <v>1</v>
      </c>
      <c r="AG39" t="s">
        <v>94</v>
      </c>
      <c r="AH39" t="s">
        <v>104</v>
      </c>
      <c r="AI39" t="s">
        <v>175</v>
      </c>
      <c r="AU39" s="4" t="s">
        <v>438</v>
      </c>
      <c r="AV39" s="5" t="s">
        <v>313</v>
      </c>
      <c r="AX39" s="4" t="s">
        <v>56</v>
      </c>
      <c r="AY39" t="s">
        <v>49</v>
      </c>
      <c r="AZ39" t="s">
        <v>52</v>
      </c>
      <c r="BA39">
        <v>4</v>
      </c>
      <c r="BB39" t="str">
        <f t="shared" si="7"/>
        <v>SV,FI,Urban,4</v>
      </c>
      <c r="BC39" s="111">
        <v>-2.1259999999999999</v>
      </c>
      <c r="BD39" s="111">
        <v>0.64600000000000002</v>
      </c>
      <c r="BE39" s="111">
        <v>1E-3</v>
      </c>
      <c r="BF39" s="111">
        <v>0.77</v>
      </c>
      <c r="BG39" s="112">
        <v>0.14000000000000001</v>
      </c>
      <c r="BH39" s="113">
        <v>2.1800000000000002</v>
      </c>
    </row>
    <row r="40" spans="2:60" ht="15.6" x14ac:dyDescent="0.35">
      <c r="B40" s="12" t="s">
        <v>181</v>
      </c>
      <c r="D40" t="s">
        <v>176</v>
      </c>
      <c r="F40" t="s">
        <v>202</v>
      </c>
      <c r="G40" s="100">
        <v>0.2</v>
      </c>
      <c r="H40" s="100">
        <v>0.2</v>
      </c>
      <c r="I40" s="4"/>
      <c r="O40" s="14"/>
      <c r="AE40">
        <f t="shared" ref="AE40:AE42" si="9">AE39</f>
        <v>1</v>
      </c>
      <c r="AF40">
        <f t="shared" ref="AF40:AF42" si="10">AF39</f>
        <v>1</v>
      </c>
      <c r="AU40" s="4" t="s">
        <v>439</v>
      </c>
      <c r="AV40" s="5" t="s">
        <v>314</v>
      </c>
      <c r="AX40" s="4" t="s">
        <v>56</v>
      </c>
      <c r="AY40" t="s">
        <v>49</v>
      </c>
      <c r="AZ40" t="s">
        <v>52</v>
      </c>
      <c r="BA40">
        <v>6</v>
      </c>
      <c r="BB40" t="str">
        <f t="shared" si="7"/>
        <v>SV,FI,Urban,6</v>
      </c>
      <c r="BC40" s="111">
        <v>-2.0550000000000002</v>
      </c>
      <c r="BD40" s="111">
        <v>0.64600000000000002</v>
      </c>
      <c r="BE40" s="111">
        <v>1E-3</v>
      </c>
      <c r="BF40" s="111">
        <v>0.7</v>
      </c>
      <c r="BG40" s="112">
        <v>0.21</v>
      </c>
      <c r="BH40" s="113">
        <v>1.86</v>
      </c>
    </row>
    <row r="41" spans="2:60" ht="15.6" x14ac:dyDescent="0.35">
      <c r="B41" s="12"/>
      <c r="D41" t="s">
        <v>93</v>
      </c>
      <c r="F41" t="s">
        <v>203</v>
      </c>
      <c r="G41" s="100">
        <v>1</v>
      </c>
      <c r="H41" s="100">
        <v>1</v>
      </c>
      <c r="I41" s="4"/>
      <c r="O41" s="14"/>
      <c r="AE41">
        <f t="shared" si="9"/>
        <v>1</v>
      </c>
      <c r="AF41">
        <f t="shared" si="10"/>
        <v>1</v>
      </c>
      <c r="AG41">
        <v>1</v>
      </c>
      <c r="AH41">
        <v>2</v>
      </c>
      <c r="AU41" s="4" t="s">
        <v>440</v>
      </c>
      <c r="AV41" s="5" t="s">
        <v>313</v>
      </c>
      <c r="AX41" s="4" t="s">
        <v>56</v>
      </c>
      <c r="AY41" t="s">
        <v>49</v>
      </c>
      <c r="AZ41" t="s">
        <v>52</v>
      </c>
      <c r="BA41">
        <v>8</v>
      </c>
      <c r="BB41" t="str">
        <f t="shared" si="7"/>
        <v>SV,FI,Urban,8</v>
      </c>
      <c r="BC41" s="111">
        <v>-1.9850000000000001</v>
      </c>
      <c r="BD41" s="111">
        <v>0.64600000000000002</v>
      </c>
      <c r="BE41" s="111">
        <v>1E-3</v>
      </c>
      <c r="BF41" s="111">
        <v>1.25</v>
      </c>
      <c r="BG41" s="112">
        <v>0.1</v>
      </c>
      <c r="BH41" s="113">
        <v>1.64</v>
      </c>
    </row>
    <row r="42" spans="2:60" ht="15.6" x14ac:dyDescent="0.35">
      <c r="B42" s="54"/>
      <c r="C42" s="7"/>
      <c r="D42" s="7" t="s">
        <v>177</v>
      </c>
      <c r="E42" s="7"/>
      <c r="F42" s="7" t="s">
        <v>204</v>
      </c>
      <c r="G42" s="103"/>
      <c r="H42" s="103"/>
      <c r="I42" s="4"/>
      <c r="O42" s="14"/>
      <c r="AE42">
        <f t="shared" si="9"/>
        <v>1</v>
      </c>
      <c r="AF42">
        <f t="shared" si="10"/>
        <v>1</v>
      </c>
      <c r="AU42" s="4" t="s">
        <v>441</v>
      </c>
      <c r="AV42" s="5" t="s">
        <v>311</v>
      </c>
      <c r="AX42" s="4" t="s">
        <v>56</v>
      </c>
      <c r="AY42" t="s">
        <v>49</v>
      </c>
      <c r="AZ42" t="s">
        <v>52</v>
      </c>
      <c r="BA42">
        <v>10</v>
      </c>
      <c r="BB42" t="str">
        <f t="shared" ref="BB42:BB43" si="11">AX42&amp;","&amp;AY42&amp;","&amp;AZ42&amp;","&amp;BA42</f>
        <v>SV,FI,Urban,10</v>
      </c>
      <c r="BC42" s="111">
        <v>-1.915</v>
      </c>
      <c r="BD42" s="111">
        <v>0.64600000000000002</v>
      </c>
      <c r="BE42" s="111">
        <v>1E-3</v>
      </c>
      <c r="BF42" s="111">
        <v>1.02</v>
      </c>
      <c r="BG42" s="112">
        <v>0.05</v>
      </c>
      <c r="BH42" s="113">
        <v>1.8</v>
      </c>
    </row>
    <row r="43" spans="2:60" x14ac:dyDescent="0.25">
      <c r="B43" s="12" t="s">
        <v>179</v>
      </c>
      <c r="D43" t="s">
        <v>92</v>
      </c>
      <c r="G43" s="102" t="s">
        <v>94</v>
      </c>
      <c r="H43" s="102" t="s">
        <v>94</v>
      </c>
      <c r="I43" s="4"/>
      <c r="O43" s="14"/>
      <c r="AE43">
        <f>IF(G43=$AI43,0,1)</f>
        <v>1</v>
      </c>
      <c r="AF43">
        <f>IF(H43=$AI43,0,1)</f>
        <v>1</v>
      </c>
      <c r="AG43" t="s">
        <v>94</v>
      </c>
      <c r="AH43" t="s">
        <v>104</v>
      </c>
      <c r="AI43" t="s">
        <v>175</v>
      </c>
      <c r="AU43" s="4" t="s">
        <v>442</v>
      </c>
      <c r="AV43" s="5" t="s">
        <v>311</v>
      </c>
      <c r="AX43" s="4" t="s">
        <v>56</v>
      </c>
      <c r="AY43" t="s">
        <v>49</v>
      </c>
      <c r="AZ43" t="s">
        <v>52</v>
      </c>
      <c r="BA43">
        <v>12</v>
      </c>
      <c r="BB43" t="str">
        <f t="shared" si="11"/>
        <v>SV,FI,Urban,12</v>
      </c>
      <c r="BC43" s="111">
        <v>-1.915</v>
      </c>
      <c r="BD43" s="111">
        <v>0.64600000000000002</v>
      </c>
      <c r="BE43" s="111">
        <v>1E-3</v>
      </c>
      <c r="BF43" s="111">
        <v>1.01</v>
      </c>
      <c r="BG43" s="112">
        <v>0.09</v>
      </c>
      <c r="BH43" s="113">
        <v>1.8</v>
      </c>
    </row>
    <row r="44" spans="2:60" ht="15.6" x14ac:dyDescent="0.35">
      <c r="B44" s="12" t="s">
        <v>181</v>
      </c>
      <c r="D44" t="s">
        <v>176</v>
      </c>
      <c r="F44" t="s">
        <v>205</v>
      </c>
      <c r="G44" s="100">
        <v>0.2</v>
      </c>
      <c r="H44" s="100">
        <v>0.2</v>
      </c>
      <c r="I44" s="4"/>
      <c r="O44" s="14"/>
      <c r="AE44">
        <f t="shared" ref="AE44:AE46" si="12">AE43</f>
        <v>1</v>
      </c>
      <c r="AF44">
        <f t="shared" ref="AF44:AF46" si="13">AF43</f>
        <v>1</v>
      </c>
      <c r="AU44" s="4" t="s">
        <v>443</v>
      </c>
      <c r="AV44" s="5" t="s">
        <v>311</v>
      </c>
      <c r="AX44" s="4" t="s">
        <v>56</v>
      </c>
      <c r="AY44" t="s">
        <v>53</v>
      </c>
      <c r="AZ44" t="s">
        <v>51</v>
      </c>
      <c r="BA44">
        <v>4</v>
      </c>
      <c r="BB44" t="str">
        <f t="shared" ref="BB44:BB51" si="14">AX44&amp;","&amp;AY44&amp;","&amp;AZ44&amp;","&amp;BA44</f>
        <v>SV,PDO,Rural,4</v>
      </c>
      <c r="BC44" s="111">
        <v>-2.2349999999999999</v>
      </c>
      <c r="BD44" s="111">
        <v>0.876</v>
      </c>
      <c r="BE44" s="111">
        <v>1E-3</v>
      </c>
      <c r="BF44" s="111">
        <v>0.87</v>
      </c>
      <c r="BG44" s="112">
        <f t="shared" ref="BG44:BG46" si="15">1/20.7</f>
        <v>4.8309178743961352E-2</v>
      </c>
      <c r="BH44" s="124" t="s">
        <v>316</v>
      </c>
    </row>
    <row r="45" spans="2:60" ht="15.6" x14ac:dyDescent="0.35">
      <c r="B45" s="12"/>
      <c r="D45" t="s">
        <v>93</v>
      </c>
      <c r="F45" t="s">
        <v>206</v>
      </c>
      <c r="G45" s="100">
        <v>1</v>
      </c>
      <c r="H45" s="100">
        <v>1</v>
      </c>
      <c r="I45" s="4"/>
      <c r="O45" s="14"/>
      <c r="AE45">
        <f t="shared" si="12"/>
        <v>1</v>
      </c>
      <c r="AF45">
        <f t="shared" si="13"/>
        <v>1</v>
      </c>
      <c r="AG45">
        <v>1</v>
      </c>
      <c r="AH45">
        <v>2</v>
      </c>
      <c r="AU45" s="6" t="s">
        <v>444</v>
      </c>
      <c r="AV45" s="77" t="s">
        <v>313</v>
      </c>
      <c r="AX45" s="4" t="s">
        <v>56</v>
      </c>
      <c r="AY45" t="s">
        <v>53</v>
      </c>
      <c r="AZ45" t="s">
        <v>51</v>
      </c>
      <c r="BA45">
        <v>6</v>
      </c>
      <c r="BB45" t="str">
        <f t="shared" si="14"/>
        <v>SV,PDO,Rural,6</v>
      </c>
      <c r="BC45" s="111">
        <v>-2.274</v>
      </c>
      <c r="BD45" s="111">
        <v>0.876</v>
      </c>
      <c r="BE45" s="111">
        <v>1E-3</v>
      </c>
      <c r="BF45" s="111">
        <v>0.87</v>
      </c>
      <c r="BG45" s="112">
        <f t="shared" si="15"/>
        <v>4.8309178743961352E-2</v>
      </c>
      <c r="BH45" s="124" t="s">
        <v>316</v>
      </c>
    </row>
    <row r="46" spans="2:60" ht="15.6" x14ac:dyDescent="0.35">
      <c r="B46" s="54"/>
      <c r="C46" s="7"/>
      <c r="D46" s="7" t="s">
        <v>177</v>
      </c>
      <c r="E46" s="7"/>
      <c r="F46" s="7" t="s">
        <v>207</v>
      </c>
      <c r="G46" s="103"/>
      <c r="H46" s="103"/>
      <c r="I46" s="4"/>
      <c r="O46" s="14"/>
      <c r="AE46">
        <f t="shared" si="12"/>
        <v>1</v>
      </c>
      <c r="AF46">
        <f t="shared" si="13"/>
        <v>1</v>
      </c>
      <c r="AX46" s="4" t="s">
        <v>56</v>
      </c>
      <c r="AY46" t="s">
        <v>53</v>
      </c>
      <c r="AZ46" t="s">
        <v>51</v>
      </c>
      <c r="BA46">
        <v>8</v>
      </c>
      <c r="BB46" t="str">
        <f t="shared" si="14"/>
        <v>SV,PDO,Rural,8</v>
      </c>
      <c r="BC46" s="111">
        <v>-2.3119999999999998</v>
      </c>
      <c r="BD46" s="111">
        <v>0.876</v>
      </c>
      <c r="BE46" s="111">
        <v>1E-3</v>
      </c>
      <c r="BF46" s="111">
        <v>1</v>
      </c>
      <c r="BG46" s="112">
        <f t="shared" si="15"/>
        <v>4.8309178743961352E-2</v>
      </c>
      <c r="BH46" s="124" t="s">
        <v>316</v>
      </c>
    </row>
    <row r="47" spans="2:60" x14ac:dyDescent="0.25">
      <c r="B47" s="12" t="s">
        <v>180</v>
      </c>
      <c r="D47" t="s">
        <v>92</v>
      </c>
      <c r="G47" s="102" t="s">
        <v>94</v>
      </c>
      <c r="H47" s="102" t="s">
        <v>94</v>
      </c>
      <c r="I47" s="4"/>
      <c r="O47" s="14"/>
      <c r="AE47">
        <f>IF(G47=$AI47,0,1)</f>
        <v>1</v>
      </c>
      <c r="AF47">
        <f>IF(H47=$AI47,0,1)</f>
        <v>1</v>
      </c>
      <c r="AG47" t="s">
        <v>94</v>
      </c>
      <c r="AH47" t="s">
        <v>104</v>
      </c>
      <c r="AI47" t="s">
        <v>175</v>
      </c>
      <c r="AX47" s="4" t="s">
        <v>56</v>
      </c>
      <c r="AY47" t="s">
        <v>53</v>
      </c>
      <c r="AZ47" t="s">
        <v>52</v>
      </c>
      <c r="BA47">
        <v>4</v>
      </c>
      <c r="BB47" t="str">
        <f t="shared" si="14"/>
        <v>SV,PDO,Urban,4</v>
      </c>
      <c r="BC47" s="111">
        <v>-2.2349999999999999</v>
      </c>
      <c r="BD47" s="111">
        <v>0.876</v>
      </c>
      <c r="BE47" s="111">
        <v>1E-3</v>
      </c>
      <c r="BF47" s="111">
        <v>0.68</v>
      </c>
      <c r="BG47" s="112">
        <v>0.42</v>
      </c>
      <c r="BH47" s="124" t="s">
        <v>316</v>
      </c>
    </row>
    <row r="48" spans="2:60" ht="15.6" x14ac:dyDescent="0.35">
      <c r="B48" s="12" t="s">
        <v>178</v>
      </c>
      <c r="D48" t="s">
        <v>176</v>
      </c>
      <c r="F48" t="s">
        <v>208</v>
      </c>
      <c r="G48" s="100">
        <v>0.2</v>
      </c>
      <c r="H48" s="100">
        <v>0.2</v>
      </c>
      <c r="O48" s="14"/>
      <c r="AE48">
        <f t="shared" ref="AE48:AE50" si="16">AE47</f>
        <v>1</v>
      </c>
      <c r="AF48">
        <f t="shared" ref="AF48:AF50" si="17">AF47</f>
        <v>1</v>
      </c>
      <c r="AX48" s="4" t="s">
        <v>56</v>
      </c>
      <c r="AY48" t="s">
        <v>53</v>
      </c>
      <c r="AZ48" t="s">
        <v>52</v>
      </c>
      <c r="BA48">
        <v>6</v>
      </c>
      <c r="BB48" t="str">
        <f t="shared" si="14"/>
        <v>SV,PDO,Urban,6</v>
      </c>
      <c r="BC48" s="111">
        <v>-2.274</v>
      </c>
      <c r="BD48" s="111">
        <v>0.876</v>
      </c>
      <c r="BE48" s="111">
        <v>1E-3</v>
      </c>
      <c r="BF48" s="111">
        <v>0.56000000000000005</v>
      </c>
      <c r="BG48" s="112">
        <v>0.45</v>
      </c>
      <c r="BH48" s="124" t="s">
        <v>316</v>
      </c>
    </row>
    <row r="49" spans="2:60" ht="15.6" x14ac:dyDescent="0.35">
      <c r="B49" s="12"/>
      <c r="D49" t="s">
        <v>93</v>
      </c>
      <c r="F49" t="s">
        <v>209</v>
      </c>
      <c r="G49" s="100">
        <v>1</v>
      </c>
      <c r="H49" s="100">
        <v>1</v>
      </c>
      <c r="O49" s="14"/>
      <c r="AE49">
        <f t="shared" si="16"/>
        <v>1</v>
      </c>
      <c r="AF49">
        <f t="shared" si="17"/>
        <v>1</v>
      </c>
      <c r="AG49">
        <v>1</v>
      </c>
      <c r="AH49">
        <v>2</v>
      </c>
      <c r="AX49" s="4" t="s">
        <v>56</v>
      </c>
      <c r="AY49" t="s">
        <v>53</v>
      </c>
      <c r="AZ49" t="s">
        <v>52</v>
      </c>
      <c r="BA49">
        <v>8</v>
      </c>
      <c r="BB49" t="str">
        <f t="shared" si="14"/>
        <v>SV,PDO,Urban,8</v>
      </c>
      <c r="BC49" s="111">
        <v>-2.3119999999999998</v>
      </c>
      <c r="BD49" s="111">
        <v>0.876</v>
      </c>
      <c r="BE49" s="111">
        <v>1E-3</v>
      </c>
      <c r="BF49" s="111">
        <v>1.04</v>
      </c>
      <c r="BG49" s="112">
        <v>0.11</v>
      </c>
      <c r="BH49" s="124" t="s">
        <v>316</v>
      </c>
    </row>
    <row r="50" spans="2:60" ht="16.2" thickBot="1" x14ac:dyDescent="0.4">
      <c r="B50" s="12"/>
      <c r="D50" t="s">
        <v>177</v>
      </c>
      <c r="F50" t="s">
        <v>210</v>
      </c>
      <c r="G50" s="104"/>
      <c r="H50" s="104"/>
      <c r="O50" s="14"/>
      <c r="AE50">
        <f t="shared" si="16"/>
        <v>1</v>
      </c>
      <c r="AF50">
        <f t="shared" si="17"/>
        <v>1</v>
      </c>
      <c r="AX50" s="4" t="s">
        <v>56</v>
      </c>
      <c r="AY50" t="s">
        <v>53</v>
      </c>
      <c r="AZ50" t="s">
        <v>52</v>
      </c>
      <c r="BA50">
        <v>10</v>
      </c>
      <c r="BB50" t="str">
        <f t="shared" si="14"/>
        <v>SV,PDO,Urban,10</v>
      </c>
      <c r="BC50" s="111">
        <v>-2.351</v>
      </c>
      <c r="BD50" s="111">
        <v>0.876</v>
      </c>
      <c r="BE50" s="111">
        <v>1E-3</v>
      </c>
      <c r="BF50" s="111">
        <v>0.95</v>
      </c>
      <c r="BG50" s="112">
        <v>0.06</v>
      </c>
      <c r="BH50" s="124" t="s">
        <v>316</v>
      </c>
    </row>
    <row r="51" spans="2:60" ht="13.8" thickTop="1" x14ac:dyDescent="0.25">
      <c r="B51" s="66" t="s">
        <v>97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8"/>
      <c r="AX51" s="6" t="s">
        <v>56</v>
      </c>
      <c r="AY51" s="7" t="s">
        <v>53</v>
      </c>
      <c r="AZ51" s="7" t="s">
        <v>52</v>
      </c>
      <c r="BA51" s="7">
        <v>12</v>
      </c>
      <c r="BB51" s="7" t="str">
        <f t="shared" si="14"/>
        <v>SV,PDO,Urban,12</v>
      </c>
      <c r="BC51" s="114">
        <v>-2.351</v>
      </c>
      <c r="BD51" s="114">
        <v>0.876</v>
      </c>
      <c r="BE51" s="114">
        <v>1E-3</v>
      </c>
      <c r="BF51" s="114">
        <v>0.77</v>
      </c>
      <c r="BG51" s="115">
        <v>0.03</v>
      </c>
      <c r="BH51" s="125" t="s">
        <v>316</v>
      </c>
    </row>
    <row r="52" spans="2:60" x14ac:dyDescent="0.25">
      <c r="B52" s="12" t="s">
        <v>98</v>
      </c>
      <c r="G52" s="99" t="s">
        <v>105</v>
      </c>
      <c r="H52" s="99" t="s">
        <v>105</v>
      </c>
      <c r="O52" s="14"/>
      <c r="AE52">
        <f>IF(G52=$AG52,0,1)</f>
        <v>0</v>
      </c>
      <c r="AF52">
        <f>IF(H52=$AG52,0,1)</f>
        <v>0</v>
      </c>
      <c r="AG52" t="s">
        <v>105</v>
      </c>
      <c r="AH52" t="s">
        <v>99</v>
      </c>
      <c r="AI52" t="s">
        <v>106</v>
      </c>
    </row>
    <row r="53" spans="2:60" x14ac:dyDescent="0.25">
      <c r="B53" s="12" t="s">
        <v>92</v>
      </c>
      <c r="G53" s="99" t="s">
        <v>94</v>
      </c>
      <c r="H53" s="99" t="s">
        <v>94</v>
      </c>
      <c r="O53" s="14"/>
      <c r="AE53">
        <f>AE52</f>
        <v>0</v>
      </c>
      <c r="AF53">
        <f t="shared" ref="AF53:AF55" si="18">AF52</f>
        <v>0</v>
      </c>
      <c r="AG53" t="s">
        <v>94</v>
      </c>
      <c r="AH53" t="s">
        <v>104</v>
      </c>
      <c r="AX53" s="1" t="s">
        <v>317</v>
      </c>
      <c r="AY53" s="2"/>
      <c r="AZ53" s="2"/>
      <c r="BA53" s="2"/>
      <c r="BB53" s="2"/>
      <c r="BC53" s="2"/>
      <c r="BD53" s="2"/>
      <c r="BE53" s="3"/>
    </row>
    <row r="54" spans="2:60" ht="15.6" x14ac:dyDescent="0.35">
      <c r="B54" s="12" t="s">
        <v>93</v>
      </c>
      <c r="G54" s="100">
        <v>2</v>
      </c>
      <c r="H54" s="100">
        <v>2</v>
      </c>
      <c r="O54" s="14"/>
      <c r="AE54">
        <f t="shared" ref="AE54:AE55" si="19">AE53</f>
        <v>0</v>
      </c>
      <c r="AF54">
        <f t="shared" si="18"/>
        <v>0</v>
      </c>
      <c r="AG54">
        <v>1</v>
      </c>
      <c r="AH54">
        <v>2</v>
      </c>
      <c r="AX54" s="4"/>
      <c r="BB54" t="s">
        <v>318</v>
      </c>
      <c r="BE54" s="5"/>
    </row>
    <row r="55" spans="2:60" ht="13.8" thickBot="1" x14ac:dyDescent="0.3">
      <c r="B55" s="69" t="s">
        <v>177</v>
      </c>
      <c r="C55" s="70"/>
      <c r="D55" s="70"/>
      <c r="E55" s="70"/>
      <c r="F55" s="70"/>
      <c r="G55" s="105"/>
      <c r="H55" s="105"/>
      <c r="I55" s="70"/>
      <c r="J55" s="70"/>
      <c r="K55" s="70"/>
      <c r="L55" s="70"/>
      <c r="M55" s="70"/>
      <c r="N55" s="70"/>
      <c r="O55" s="71"/>
      <c r="AE55">
        <f t="shared" si="19"/>
        <v>0</v>
      </c>
      <c r="AF55">
        <f t="shared" si="18"/>
        <v>0</v>
      </c>
      <c r="AX55" s="6" t="s">
        <v>54</v>
      </c>
      <c r="AY55" s="7" t="s">
        <v>48</v>
      </c>
      <c r="AZ55" s="7" t="s">
        <v>13</v>
      </c>
      <c r="BA55" s="7" t="s">
        <v>50</v>
      </c>
      <c r="BB55" s="132" t="s">
        <v>312</v>
      </c>
      <c r="BC55" s="132" t="s">
        <v>311</v>
      </c>
      <c r="BD55" s="132" t="s">
        <v>313</v>
      </c>
      <c r="BE55" s="133" t="s">
        <v>314</v>
      </c>
    </row>
    <row r="56" spans="2:60" ht="13.8" thickTop="1" x14ac:dyDescent="0.25">
      <c r="B56" s="52" t="s">
        <v>96</v>
      </c>
      <c r="O56" s="14"/>
      <c r="AX56" s="1" t="s">
        <v>55</v>
      </c>
      <c r="AY56" s="2" t="s">
        <v>49</v>
      </c>
      <c r="AZ56" s="2" t="s">
        <v>51</v>
      </c>
      <c r="BA56" s="2" t="str">
        <f>AX56&amp;","&amp;AY56&amp;","&amp;AZ56</f>
        <v>MV,FI,Rural</v>
      </c>
      <c r="BB56" s="149">
        <v>1.57</v>
      </c>
      <c r="BC56" s="149">
        <v>0.83</v>
      </c>
      <c r="BD56" s="149">
        <v>0.82</v>
      </c>
      <c r="BE56" s="150">
        <v>1.08</v>
      </c>
    </row>
    <row r="57" spans="2:60" x14ac:dyDescent="0.25">
      <c r="B57" s="12" t="s">
        <v>128</v>
      </c>
      <c r="G57" s="100">
        <v>0</v>
      </c>
      <c r="H57" s="100">
        <v>0</v>
      </c>
      <c r="O57" s="14"/>
      <c r="AE57">
        <f>IF(G$24&gt;0,1,0)</f>
        <v>1</v>
      </c>
      <c r="AF57">
        <f>IF(H$24&gt;0,1,0)</f>
        <v>1</v>
      </c>
      <c r="AX57" s="4" t="s">
        <v>55</v>
      </c>
      <c r="AY57" t="s">
        <v>53</v>
      </c>
      <c r="AZ57" t="s">
        <v>51</v>
      </c>
      <c r="BA57" t="str">
        <f t="shared" ref="BA57:BA59" si="20">AX57&amp;","&amp;AY57&amp;","&amp;AZ57</f>
        <v>MV,PDO,Rural</v>
      </c>
      <c r="BB57" s="111">
        <v>1.84</v>
      </c>
      <c r="BC57" s="111">
        <v>1.07</v>
      </c>
      <c r="BD57" s="111">
        <v>0.62</v>
      </c>
      <c r="BE57" s="113">
        <v>1.68</v>
      </c>
    </row>
    <row r="58" spans="2:60" ht="13.8" thickBot="1" x14ac:dyDescent="0.3">
      <c r="B58" s="15" t="s">
        <v>129</v>
      </c>
      <c r="C58" s="17"/>
      <c r="D58" s="17"/>
      <c r="E58" s="17"/>
      <c r="F58" s="17"/>
      <c r="G58" s="101">
        <v>0</v>
      </c>
      <c r="H58" s="101">
        <v>0</v>
      </c>
      <c r="I58" s="17"/>
      <c r="J58" s="17"/>
      <c r="K58" s="17"/>
      <c r="L58" s="17"/>
      <c r="M58" s="17"/>
      <c r="N58" s="17"/>
      <c r="O58" s="19"/>
      <c r="AE58">
        <f>IF(G$24&gt;0,1,0)</f>
        <v>1</v>
      </c>
      <c r="AF58">
        <f>IF(H$24&gt;0,1,0)</f>
        <v>1</v>
      </c>
      <c r="AX58" s="4" t="s">
        <v>56</v>
      </c>
      <c r="AY58" t="s">
        <v>49</v>
      </c>
      <c r="AZ58" t="s">
        <v>51</v>
      </c>
      <c r="BA58" t="str">
        <f t="shared" si="20"/>
        <v>SV,FI,Rural</v>
      </c>
      <c r="BB58" s="111">
        <v>1.33</v>
      </c>
      <c r="BC58" s="111">
        <v>1</v>
      </c>
      <c r="BD58" s="111">
        <v>0.82</v>
      </c>
      <c r="BE58" s="113">
        <v>0.72</v>
      </c>
    </row>
    <row r="59" spans="2:60" ht="13.8" thickBot="1" x14ac:dyDescent="0.3">
      <c r="AX59" s="6" t="s">
        <v>56</v>
      </c>
      <c r="AY59" s="7" t="s">
        <v>53</v>
      </c>
      <c r="AZ59" s="7" t="s">
        <v>51</v>
      </c>
      <c r="BA59" s="7" t="str">
        <f t="shared" si="20"/>
        <v>SV,PDO,Rural</v>
      </c>
      <c r="BB59" s="114">
        <v>1.1000000000000001</v>
      </c>
      <c r="BC59" s="114">
        <v>1.18</v>
      </c>
      <c r="BD59" s="114">
        <v>0.67</v>
      </c>
      <c r="BE59" s="116">
        <v>1.03</v>
      </c>
    </row>
    <row r="60" spans="2:60" x14ac:dyDescent="0.25">
      <c r="B60" s="46" t="s">
        <v>16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8"/>
    </row>
    <row r="61" spans="2:60" x14ac:dyDescent="0.25">
      <c r="B61" s="12" t="s">
        <v>147</v>
      </c>
      <c r="G61" s="106">
        <v>200000</v>
      </c>
      <c r="H61" s="106">
        <v>200000</v>
      </c>
      <c r="J61" t="s">
        <v>454</v>
      </c>
      <c r="O61" s="14"/>
      <c r="AE61">
        <f>IF(G$23&gt;0,1,0)</f>
        <v>1</v>
      </c>
      <c r="AF61">
        <f>IF(H$23&gt;0,1,0)</f>
        <v>1</v>
      </c>
      <c r="AX61" s="1" t="s">
        <v>140</v>
      </c>
      <c r="AY61" s="2"/>
      <c r="AZ61" s="2"/>
      <c r="BA61" s="2"/>
      <c r="BB61" s="2"/>
      <c r="BC61" s="2"/>
      <c r="BD61" s="2"/>
      <c r="BE61" s="3"/>
    </row>
    <row r="62" spans="2:60" ht="15.6" x14ac:dyDescent="0.35">
      <c r="B62" s="12" t="s">
        <v>148</v>
      </c>
      <c r="G62" s="107"/>
      <c r="H62" s="107"/>
      <c r="J62" s="152" t="s">
        <v>453</v>
      </c>
      <c r="O62" s="14"/>
      <c r="AE62">
        <f>IF(G$23&gt;0,1,0)</f>
        <v>1</v>
      </c>
      <c r="AF62">
        <f>IF(H$23&gt;0,1,0)</f>
        <v>1</v>
      </c>
      <c r="AX62" s="6" t="s">
        <v>54</v>
      </c>
      <c r="AY62" s="7" t="s">
        <v>141</v>
      </c>
      <c r="AZ62" s="7" t="s">
        <v>50</v>
      </c>
      <c r="BA62" s="132" t="s">
        <v>43</v>
      </c>
      <c r="BB62" s="132" t="s">
        <v>44</v>
      </c>
      <c r="BC62" s="132" t="s">
        <v>45</v>
      </c>
      <c r="BD62" s="132" t="s">
        <v>240</v>
      </c>
      <c r="BE62" s="133" t="s">
        <v>47</v>
      </c>
    </row>
    <row r="63" spans="2:60" ht="13.8" thickBot="1" x14ac:dyDescent="0.3">
      <c r="B63" s="15" t="s">
        <v>149</v>
      </c>
      <c r="C63" s="17"/>
      <c r="D63" s="17"/>
      <c r="E63" s="17"/>
      <c r="F63" s="17"/>
      <c r="G63" s="108">
        <v>20000</v>
      </c>
      <c r="H63" s="108">
        <v>20000</v>
      </c>
      <c r="I63" s="17"/>
      <c r="J63" s="17"/>
      <c r="K63" s="17"/>
      <c r="L63" s="17"/>
      <c r="M63" s="17"/>
      <c r="N63" s="17"/>
      <c r="O63" s="19"/>
      <c r="AE63">
        <f>IF(G$24&gt;0,1,0)</f>
        <v>1</v>
      </c>
      <c r="AF63">
        <f>IF(H$24&gt;0,1,0)</f>
        <v>1</v>
      </c>
      <c r="AX63" s="4" t="s">
        <v>55</v>
      </c>
      <c r="AY63" t="s">
        <v>137</v>
      </c>
      <c r="AZ63" t="str">
        <f>AX63&amp;","&amp;AY63</f>
        <v>MV,Stripe</v>
      </c>
      <c r="BA63" s="111">
        <v>-4.9584999999999999</v>
      </c>
      <c r="BB63" s="111">
        <v>0.60550000000000004</v>
      </c>
      <c r="BC63" s="111">
        <v>1</v>
      </c>
      <c r="BD63" s="111">
        <v>1</v>
      </c>
      <c r="BE63" s="113">
        <v>0.46</v>
      </c>
    </row>
    <row r="64" spans="2:60" ht="13.8" thickBot="1" x14ac:dyDescent="0.3">
      <c r="AX64" s="4" t="s">
        <v>55</v>
      </c>
      <c r="AY64" t="s">
        <v>138</v>
      </c>
      <c r="AZ64" t="str">
        <f t="shared" ref="AZ64:AZ70" si="21">AX64&amp;","&amp;AY64</f>
        <v>MV,Pylon</v>
      </c>
      <c r="BA64" s="111">
        <v>-4.7969999999999997</v>
      </c>
      <c r="BB64" s="111">
        <v>0.60550000000000004</v>
      </c>
      <c r="BC64" s="111">
        <v>1</v>
      </c>
      <c r="BD64" s="111">
        <v>1</v>
      </c>
      <c r="BE64" s="113">
        <v>0.46</v>
      </c>
    </row>
    <row r="65" spans="2:60" x14ac:dyDescent="0.25">
      <c r="B65" s="46" t="s">
        <v>17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8"/>
      <c r="AX65" s="4" t="s">
        <v>55</v>
      </c>
      <c r="AY65" t="s">
        <v>136</v>
      </c>
      <c r="AZ65" t="str">
        <f t="shared" si="21"/>
        <v>MV,Barrier</v>
      </c>
      <c r="BA65" s="111">
        <v>-5.5872999999999999</v>
      </c>
      <c r="BB65" s="111">
        <v>0.60550000000000004</v>
      </c>
      <c r="BC65" s="111">
        <v>1</v>
      </c>
      <c r="BD65" s="111">
        <v>1</v>
      </c>
      <c r="BE65" s="113">
        <v>0.46</v>
      </c>
    </row>
    <row r="66" spans="2:60" ht="15.6" x14ac:dyDescent="0.35">
      <c r="B66" s="12" t="s">
        <v>19</v>
      </c>
      <c r="F66" t="s">
        <v>211</v>
      </c>
      <c r="G66" s="99">
        <v>0.1</v>
      </c>
      <c r="H66" s="99">
        <v>0.1</v>
      </c>
      <c r="I66" s="72" t="str">
        <f>IF(OR(G66&lt;AA66,G66&gt;AC66,H66&lt;AB66,H66&gt;AD66),"Enter a positive value less than or equal to the segment length.","")</f>
        <v/>
      </c>
      <c r="O66" s="14"/>
      <c r="AA66">
        <v>0</v>
      </c>
      <c r="AB66">
        <v>0</v>
      </c>
      <c r="AC66">
        <f>G$27</f>
        <v>1</v>
      </c>
      <c r="AD66">
        <f>H$27</f>
        <v>1</v>
      </c>
      <c r="AX66" s="4" t="s">
        <v>55</v>
      </c>
      <c r="AY66" t="s">
        <v>134</v>
      </c>
      <c r="AZ66" t="str">
        <f t="shared" si="21"/>
        <v>MV,Reversible</v>
      </c>
      <c r="BA66" s="111">
        <v>-15.3049</v>
      </c>
      <c r="BB66" s="111">
        <v>1.6653</v>
      </c>
      <c r="BC66" s="111">
        <v>1</v>
      </c>
      <c r="BD66" s="111">
        <v>1</v>
      </c>
      <c r="BE66" s="113">
        <v>0.55000000000000004</v>
      </c>
    </row>
    <row r="67" spans="2:60" ht="13.8" thickBot="1" x14ac:dyDescent="0.3">
      <c r="B67" s="15" t="s">
        <v>18</v>
      </c>
      <c r="C67" s="17"/>
      <c r="D67" s="17"/>
      <c r="E67" s="17"/>
      <c r="F67" s="17" t="s">
        <v>81</v>
      </c>
      <c r="G67" s="110">
        <v>99999</v>
      </c>
      <c r="H67" s="110">
        <v>99999</v>
      </c>
      <c r="I67" s="17"/>
      <c r="J67" s="17"/>
      <c r="K67" s="17"/>
      <c r="L67" s="17"/>
      <c r="M67" s="17"/>
      <c r="N67" s="17"/>
      <c r="O67" s="19"/>
      <c r="AA67">
        <v>1000</v>
      </c>
      <c r="AE67">
        <f>IF(G66&gt;0,1,0)</f>
        <v>1</v>
      </c>
      <c r="AF67">
        <f>IF(H66&gt;0,1,0)</f>
        <v>1</v>
      </c>
      <c r="AX67" s="4" t="s">
        <v>56</v>
      </c>
      <c r="AY67" t="s">
        <v>137</v>
      </c>
      <c r="AZ67" t="str">
        <f t="shared" si="21"/>
        <v>SV,Stripe</v>
      </c>
      <c r="BA67" s="111">
        <v>-3.8811</v>
      </c>
      <c r="BB67" s="111">
        <v>0.44009999999999999</v>
      </c>
      <c r="BC67" s="111">
        <v>1</v>
      </c>
      <c r="BD67" s="111">
        <v>1</v>
      </c>
      <c r="BE67" s="113">
        <v>0.3</v>
      </c>
    </row>
    <row r="68" spans="2:60" ht="13.8" thickBot="1" x14ac:dyDescent="0.3">
      <c r="AX68" s="4" t="s">
        <v>56</v>
      </c>
      <c r="AY68" t="s">
        <v>138</v>
      </c>
      <c r="AZ68" t="str">
        <f t="shared" si="21"/>
        <v>SV,Pylon</v>
      </c>
      <c r="BA68" s="111">
        <v>-3.1353</v>
      </c>
      <c r="BB68" s="111">
        <v>0.44009999999999999</v>
      </c>
      <c r="BC68" s="111">
        <v>1</v>
      </c>
      <c r="BD68" s="111">
        <v>1</v>
      </c>
      <c r="BE68" s="113">
        <v>0.3</v>
      </c>
    </row>
    <row r="69" spans="2:60" x14ac:dyDescent="0.25">
      <c r="B69" s="46" t="s">
        <v>20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8"/>
      <c r="AX69" s="4" t="s">
        <v>56</v>
      </c>
      <c r="AY69" t="s">
        <v>136</v>
      </c>
      <c r="AZ69" t="str">
        <f t="shared" si="21"/>
        <v>SV,Barrier</v>
      </c>
      <c r="BA69" s="111">
        <v>-4.4764999999999997</v>
      </c>
      <c r="BB69" s="111">
        <v>0.44009999999999999</v>
      </c>
      <c r="BC69" s="111">
        <v>1</v>
      </c>
      <c r="BD69" s="111">
        <v>1</v>
      </c>
      <c r="BE69" s="113">
        <v>0.3</v>
      </c>
    </row>
    <row r="70" spans="2:60" ht="15.6" x14ac:dyDescent="0.35">
      <c r="B70" s="12" t="s">
        <v>21</v>
      </c>
      <c r="F70" t="s">
        <v>212</v>
      </c>
      <c r="G70" s="99">
        <v>12</v>
      </c>
      <c r="H70" s="99">
        <v>12</v>
      </c>
      <c r="I70" s="72" t="str">
        <f>IF(OR(G70&lt;AA70,G70&gt;AC70,H70&lt;AA70,H70&gt;AC70),"The range for this CMF is "&amp;AA70&amp;" - "&amp;AC70&amp;" ft.","")</f>
        <v/>
      </c>
      <c r="O70" s="14"/>
      <c r="AA70">
        <v>10.5</v>
      </c>
      <c r="AC70">
        <v>14</v>
      </c>
      <c r="AX70" s="6" t="s">
        <v>56</v>
      </c>
      <c r="AY70" s="7" t="s">
        <v>134</v>
      </c>
      <c r="AZ70" s="7" t="str">
        <f t="shared" si="21"/>
        <v>SV,Reversible</v>
      </c>
      <c r="BA70" s="114">
        <v>-7.2209000000000003</v>
      </c>
      <c r="BB70" s="114">
        <v>0.70469999999999999</v>
      </c>
      <c r="BC70" s="114">
        <v>1</v>
      </c>
      <c r="BD70" s="114">
        <v>1</v>
      </c>
      <c r="BE70" s="116">
        <v>0.38</v>
      </c>
    </row>
    <row r="71" spans="2:60" ht="15.6" x14ac:dyDescent="0.35">
      <c r="B71" s="12" t="s">
        <v>22</v>
      </c>
      <c r="F71" t="s">
        <v>213</v>
      </c>
      <c r="G71" s="99">
        <v>10</v>
      </c>
      <c r="H71" s="99">
        <v>10</v>
      </c>
      <c r="I71" s="72" t="str">
        <f>IF(OR(G71&lt;AA71,G71&gt;AC71,H71&lt;AA71,H71&gt;AC71),"The range for this CMF is "&amp;AA71&amp;" - "&amp;AC71&amp;" ft.","")</f>
        <v/>
      </c>
      <c r="O71" s="14"/>
      <c r="AA71">
        <v>4</v>
      </c>
      <c r="AC71">
        <v>14</v>
      </c>
    </row>
    <row r="72" spans="2:60" ht="15.6" x14ac:dyDescent="0.35">
      <c r="B72" s="12" t="s">
        <v>23</v>
      </c>
      <c r="F72" t="s">
        <v>214</v>
      </c>
      <c r="G72" s="99">
        <v>8</v>
      </c>
      <c r="H72" s="99">
        <v>8</v>
      </c>
      <c r="I72" s="72" t="str">
        <f>IF(OR(G72&lt;AA72,G72&gt;AC72,H72&lt;AA72,H72&gt;AC72),"The range for this CMF is "&amp;AA72&amp;" - "&amp;AC72&amp;" ft.","")</f>
        <v/>
      </c>
      <c r="O72" s="14"/>
      <c r="AA72">
        <v>2</v>
      </c>
      <c r="AC72">
        <v>12</v>
      </c>
      <c r="AX72" s="1" t="s">
        <v>85</v>
      </c>
      <c r="AY72" s="2"/>
      <c r="AZ72" s="2"/>
      <c r="BA72" s="2"/>
      <c r="BB72" s="2"/>
      <c r="BC72" s="3"/>
      <c r="BE72" s="1" t="s">
        <v>90</v>
      </c>
      <c r="BF72" s="2"/>
      <c r="BG72" s="2"/>
      <c r="BH72" s="3"/>
    </row>
    <row r="73" spans="2:60" ht="15.6" x14ac:dyDescent="0.35">
      <c r="B73" s="12" t="s">
        <v>192</v>
      </c>
      <c r="F73" t="s">
        <v>215</v>
      </c>
      <c r="G73" s="99">
        <v>30</v>
      </c>
      <c r="H73" s="99">
        <v>30</v>
      </c>
      <c r="I73" s="72" t="str">
        <f>IF(OR(G73&lt;AA73,H73&lt;AB73),"Median width must be at least the median barrier width + twice the inside shoulder width.","")</f>
        <v/>
      </c>
      <c r="O73" s="14"/>
      <c r="AA73">
        <f>2*G72+IF(G74="Yes",G77+2*G76,0)</f>
        <v>22</v>
      </c>
      <c r="AB73">
        <f>2*H72+IF(H74="Yes",H77+2*H76,0)</f>
        <v>22</v>
      </c>
      <c r="AX73" s="4" t="s">
        <v>82</v>
      </c>
      <c r="AY73" t="s">
        <v>84</v>
      </c>
      <c r="BC73" s="5"/>
      <c r="BE73" s="4" t="s">
        <v>82</v>
      </c>
      <c r="BF73" t="s">
        <v>86</v>
      </c>
      <c r="BH73" s="5"/>
    </row>
    <row r="74" spans="2:60" x14ac:dyDescent="0.25">
      <c r="B74" s="12" t="s">
        <v>58</v>
      </c>
      <c r="G74" s="99" t="s">
        <v>57</v>
      </c>
      <c r="H74" s="99" t="s">
        <v>57</v>
      </c>
      <c r="O74" s="14"/>
      <c r="AG74" t="s">
        <v>57</v>
      </c>
      <c r="AH74" t="s">
        <v>194</v>
      </c>
      <c r="AX74" s="6" t="s">
        <v>83</v>
      </c>
      <c r="AY74" s="7">
        <v>4</v>
      </c>
      <c r="AZ74" s="7">
        <v>6</v>
      </c>
      <c r="BA74" s="7">
        <v>8</v>
      </c>
      <c r="BB74" s="7">
        <v>10</v>
      </c>
      <c r="BC74" s="77">
        <v>12</v>
      </c>
      <c r="BE74" s="6" t="s">
        <v>83</v>
      </c>
      <c r="BF74" s="132" t="s">
        <v>87</v>
      </c>
      <c r="BG74" s="132" t="s">
        <v>88</v>
      </c>
      <c r="BH74" s="133" t="s">
        <v>89</v>
      </c>
    </row>
    <row r="75" spans="2:60" ht="15.6" x14ac:dyDescent="0.35">
      <c r="B75" s="12" t="s">
        <v>59</v>
      </c>
      <c r="F75" t="s">
        <v>216</v>
      </c>
      <c r="G75" s="99">
        <v>0</v>
      </c>
      <c r="H75" s="99">
        <v>0</v>
      </c>
      <c r="I75" s="74" t="str">
        <f>IF(OR(G75&lt;AA75,G75&gt;AC75,H75&lt;AB75,H75&gt;AD75),"Enter a positive value less than or equal to twice the segment length.","")</f>
        <v/>
      </c>
      <c r="O75" s="14"/>
      <c r="AA75">
        <v>0</v>
      </c>
      <c r="AB75">
        <v>0</v>
      </c>
      <c r="AC75">
        <f>2*G$27</f>
        <v>2</v>
      </c>
      <c r="AD75">
        <f>2*H$27</f>
        <v>2</v>
      </c>
      <c r="AX75" s="4">
        <v>0</v>
      </c>
      <c r="AY75" s="111">
        <v>0</v>
      </c>
      <c r="AZ75" s="111">
        <v>0</v>
      </c>
      <c r="BA75" s="111">
        <v>0</v>
      </c>
      <c r="BB75" s="111">
        <v>0</v>
      </c>
      <c r="BC75" s="117">
        <v>0</v>
      </c>
      <c r="BE75" s="4">
        <v>0</v>
      </c>
      <c r="BF75" s="111">
        <v>1600</v>
      </c>
      <c r="BG75" s="111">
        <v>3200</v>
      </c>
      <c r="BH75" s="113">
        <v>7700</v>
      </c>
    </row>
    <row r="76" spans="2:60" ht="15.6" x14ac:dyDescent="0.35">
      <c r="B76" s="12" t="s">
        <v>190</v>
      </c>
      <c r="F76" t="s">
        <v>217</v>
      </c>
      <c r="G76" s="99">
        <v>2</v>
      </c>
      <c r="H76" s="99">
        <v>2</v>
      </c>
      <c r="I76" s="72" t="str">
        <f>IF(OR(G76&lt;AA76,G76&gt;AC76,H76&lt;AB76,H76&gt;AD76),"Median barrier offset must be between 0.75 ft &amp; half the traversable median width.","")</f>
        <v/>
      </c>
      <c r="O76" s="14"/>
      <c r="AA76">
        <v>0.75</v>
      </c>
      <c r="AB76">
        <v>0.75</v>
      </c>
      <c r="AC76">
        <f>(G73-2*G72-G77)/2</f>
        <v>6</v>
      </c>
      <c r="AD76">
        <f>(H73-2*H72-H77)/2</f>
        <v>6</v>
      </c>
      <c r="AX76" s="4">
        <v>50000</v>
      </c>
      <c r="AY76" s="111">
        <v>0.1</v>
      </c>
      <c r="AZ76" s="111">
        <v>0</v>
      </c>
      <c r="BA76" s="111">
        <v>0</v>
      </c>
      <c r="BB76" s="111">
        <v>0</v>
      </c>
      <c r="BC76" s="117">
        <v>0</v>
      </c>
      <c r="BE76" s="4">
        <v>20000</v>
      </c>
      <c r="BF76" s="111">
        <v>1600</v>
      </c>
      <c r="BG76" s="111">
        <v>3200</v>
      </c>
      <c r="BH76" s="113">
        <v>7700</v>
      </c>
    </row>
    <row r="77" spans="2:60" ht="15.6" x14ac:dyDescent="0.35">
      <c r="B77" s="12" t="s">
        <v>80</v>
      </c>
      <c r="F77" t="s">
        <v>218</v>
      </c>
      <c r="G77" s="99">
        <v>2</v>
      </c>
      <c r="H77" s="99">
        <v>2</v>
      </c>
      <c r="O77" s="14"/>
      <c r="AX77" s="4">
        <v>60000</v>
      </c>
      <c r="AY77" s="111">
        <v>0.34</v>
      </c>
      <c r="AZ77" s="111">
        <v>0</v>
      </c>
      <c r="BA77" s="111">
        <v>0</v>
      </c>
      <c r="BB77" s="111">
        <v>0</v>
      </c>
      <c r="BC77" s="117">
        <v>0</v>
      </c>
      <c r="BE77" s="4">
        <v>40000</v>
      </c>
      <c r="BF77" s="111">
        <v>2200</v>
      </c>
      <c r="BG77" s="111">
        <v>4400</v>
      </c>
      <c r="BH77" s="113">
        <v>10500</v>
      </c>
    </row>
    <row r="78" spans="2:60" ht="15.6" x14ac:dyDescent="0.35">
      <c r="B78" s="12" t="s">
        <v>65</v>
      </c>
      <c r="F78" t="s">
        <v>219</v>
      </c>
      <c r="G78" s="99">
        <v>1</v>
      </c>
      <c r="H78" s="99">
        <v>1</v>
      </c>
      <c r="I78" s="74" t="str">
        <f>IF(OR(G78&lt;AA78,G78&gt;AC78,H78&lt;AB78,H78&gt;AD78),"Enter a value between 0 and 1.","")</f>
        <v/>
      </c>
      <c r="O78" s="14"/>
      <c r="AA78">
        <v>0</v>
      </c>
      <c r="AB78">
        <v>0</v>
      </c>
      <c r="AC78">
        <v>1</v>
      </c>
      <c r="AD78">
        <v>1</v>
      </c>
      <c r="AX78" s="4">
        <v>70000</v>
      </c>
      <c r="AY78" s="111">
        <v>0.51</v>
      </c>
      <c r="AZ78" s="111">
        <v>0</v>
      </c>
      <c r="BA78" s="111">
        <v>0</v>
      </c>
      <c r="BB78" s="111">
        <v>0</v>
      </c>
      <c r="BC78" s="117">
        <v>0</v>
      </c>
      <c r="BE78" s="4">
        <v>60000</v>
      </c>
      <c r="BF78" s="111">
        <v>2600</v>
      </c>
      <c r="BG78" s="111">
        <v>5200</v>
      </c>
      <c r="BH78" s="113">
        <v>12500</v>
      </c>
    </row>
    <row r="79" spans="2:60" ht="16.2" thickBot="1" x14ac:dyDescent="0.4">
      <c r="B79" s="15" t="s">
        <v>66</v>
      </c>
      <c r="C79" s="17"/>
      <c r="D79" s="17"/>
      <c r="E79" s="17"/>
      <c r="F79" s="17" t="s">
        <v>220</v>
      </c>
      <c r="G79" s="109">
        <v>1</v>
      </c>
      <c r="H79" s="109">
        <v>1</v>
      </c>
      <c r="I79" s="73" t="str">
        <f>IF(OR(G79&lt;AA79,G79&gt;AC79,H79&lt;AB79,H79&gt;AD79),"Enter a value between 0 and 1.","")</f>
        <v/>
      </c>
      <c r="J79" s="17"/>
      <c r="K79" s="17"/>
      <c r="L79" s="17"/>
      <c r="M79" s="17"/>
      <c r="N79" s="17"/>
      <c r="O79" s="19"/>
      <c r="AA79">
        <v>0</v>
      </c>
      <c r="AB79">
        <v>0</v>
      </c>
      <c r="AC79">
        <v>1</v>
      </c>
      <c r="AD79">
        <v>1</v>
      </c>
      <c r="AX79" s="4">
        <v>80000</v>
      </c>
      <c r="AY79" s="111">
        <v>0.64</v>
      </c>
      <c r="AZ79" s="111">
        <v>0.18</v>
      </c>
      <c r="BA79" s="111">
        <v>0</v>
      </c>
      <c r="BB79" s="111">
        <v>0</v>
      </c>
      <c r="BC79" s="117">
        <v>0</v>
      </c>
      <c r="BE79" s="4">
        <v>80000</v>
      </c>
      <c r="BF79" s="111">
        <v>3000</v>
      </c>
      <c r="BG79" s="111">
        <v>5900</v>
      </c>
      <c r="BH79" s="113">
        <v>14200</v>
      </c>
    </row>
    <row r="80" spans="2:60" ht="13.8" thickBot="1" x14ac:dyDescent="0.3">
      <c r="AX80" s="4">
        <v>90000</v>
      </c>
      <c r="AY80" s="111">
        <v>0.74</v>
      </c>
      <c r="AZ80" s="111">
        <v>0.34</v>
      </c>
      <c r="BA80" s="111">
        <v>0</v>
      </c>
      <c r="BB80" s="111">
        <v>0</v>
      </c>
      <c r="BC80" s="117">
        <v>0</v>
      </c>
      <c r="BE80" s="4">
        <v>100000</v>
      </c>
      <c r="BF80" s="111">
        <v>3300</v>
      </c>
      <c r="BG80" s="111">
        <v>6500</v>
      </c>
      <c r="BH80" s="113">
        <v>15600</v>
      </c>
    </row>
    <row r="81" spans="2:60" x14ac:dyDescent="0.25">
      <c r="B81" s="46" t="s">
        <v>25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8"/>
      <c r="AX81" s="4">
        <v>100000</v>
      </c>
      <c r="AY81" s="111">
        <v>0.81</v>
      </c>
      <c r="AZ81" s="111">
        <v>0.46</v>
      </c>
      <c r="BA81" s="111">
        <v>0.1</v>
      </c>
      <c r="BB81" s="111">
        <v>0</v>
      </c>
      <c r="BC81" s="117">
        <v>0</v>
      </c>
      <c r="BE81" s="4">
        <v>120000</v>
      </c>
      <c r="BF81" s="111">
        <v>3600</v>
      </c>
      <c r="BG81" s="111">
        <v>7100</v>
      </c>
      <c r="BH81" s="113">
        <v>16900</v>
      </c>
    </row>
    <row r="82" spans="2:60" ht="15.6" x14ac:dyDescent="0.35">
      <c r="B82" s="12" t="s">
        <v>189</v>
      </c>
      <c r="F82" t="s">
        <v>221</v>
      </c>
      <c r="G82" s="99">
        <v>30</v>
      </c>
      <c r="H82" s="99">
        <v>30</v>
      </c>
      <c r="I82" s="72" t="str">
        <f>IF(OR(G82&lt;AA82,H82&lt;AB82),"The clear zone width must be greater than or equal to the outside shoulder width.","")</f>
        <v/>
      </c>
      <c r="O82" s="14"/>
      <c r="AA82">
        <f>G71</f>
        <v>10</v>
      </c>
      <c r="AB82">
        <f>H71</f>
        <v>10</v>
      </c>
      <c r="AX82" s="4">
        <v>120000</v>
      </c>
      <c r="AY82" s="111">
        <v>0.9</v>
      </c>
      <c r="AZ82" s="111">
        <v>0.64</v>
      </c>
      <c r="BA82" s="111">
        <v>0.34</v>
      </c>
      <c r="BB82" s="111">
        <v>0.04</v>
      </c>
      <c r="BC82" s="117">
        <v>0.04</v>
      </c>
      <c r="BE82" s="4">
        <v>140000</v>
      </c>
      <c r="BF82" s="111">
        <v>3800</v>
      </c>
      <c r="BG82" s="111">
        <v>7600</v>
      </c>
      <c r="BH82" s="113">
        <v>18100</v>
      </c>
    </row>
    <row r="83" spans="2:60" ht="15.6" x14ac:dyDescent="0.35">
      <c r="B83" s="12" t="s">
        <v>26</v>
      </c>
      <c r="F83" t="s">
        <v>222</v>
      </c>
      <c r="G83" s="99">
        <v>0</v>
      </c>
      <c r="H83" s="99">
        <v>0</v>
      </c>
      <c r="I83" s="74" t="str">
        <f>IF(OR(G83&lt;AA83,G83&gt;AC83,H83&lt;AB83,H83&gt;AD83),"Enter a positive value less than or equal to twice the segment length.","")</f>
        <v/>
      </c>
      <c r="O83" s="14"/>
      <c r="AA83">
        <v>0</v>
      </c>
      <c r="AB83">
        <v>0</v>
      </c>
      <c r="AC83">
        <f>2*G$27</f>
        <v>2</v>
      </c>
      <c r="AD83">
        <f>2*H$27</f>
        <v>2</v>
      </c>
      <c r="AX83" s="4">
        <v>140000</v>
      </c>
      <c r="AY83" s="118">
        <v>0.9</v>
      </c>
      <c r="AZ83" s="111">
        <v>0.76</v>
      </c>
      <c r="BA83" s="111">
        <v>0.51</v>
      </c>
      <c r="BB83" s="111">
        <v>0.25</v>
      </c>
      <c r="BC83" s="117">
        <v>0.25</v>
      </c>
      <c r="BE83" s="4">
        <v>160000</v>
      </c>
      <c r="BF83" s="111">
        <v>4000</v>
      </c>
      <c r="BG83" s="111">
        <v>8000</v>
      </c>
      <c r="BH83" s="113">
        <v>19200</v>
      </c>
    </row>
    <row r="84" spans="2:60" ht="16.2" thickBot="1" x14ac:dyDescent="0.4">
      <c r="B84" s="15" t="s">
        <v>191</v>
      </c>
      <c r="C84" s="17"/>
      <c r="D84" s="17"/>
      <c r="E84" s="17"/>
      <c r="F84" s="17" t="s">
        <v>223</v>
      </c>
      <c r="G84" s="109">
        <v>10</v>
      </c>
      <c r="H84" s="109">
        <v>10</v>
      </c>
      <c r="I84" s="92" t="str">
        <f>IF(OR(G84&lt;AA84,G84&gt;AC84,H84&lt;AB84,H84&gt;AD84),"This offset must be between 0.75 ft &amp; the clear zone width minus the outside shoulder width.","")</f>
        <v/>
      </c>
      <c r="J84" s="17"/>
      <c r="K84" s="17"/>
      <c r="L84" s="17"/>
      <c r="M84" s="17"/>
      <c r="N84" s="17"/>
      <c r="O84" s="19"/>
      <c r="AA84">
        <v>0.75</v>
      </c>
      <c r="AB84">
        <v>0.75</v>
      </c>
      <c r="AC84">
        <f>G82-G71</f>
        <v>20</v>
      </c>
      <c r="AD84">
        <f>H82-H71</f>
        <v>20</v>
      </c>
      <c r="AX84" s="4">
        <v>160000</v>
      </c>
      <c r="AY84" s="118">
        <v>0.9</v>
      </c>
      <c r="AZ84" s="111">
        <v>0.84</v>
      </c>
      <c r="BA84" s="111">
        <v>0.64</v>
      </c>
      <c r="BB84" s="111">
        <v>0.41</v>
      </c>
      <c r="BC84" s="117">
        <v>0.41</v>
      </c>
      <c r="BE84" s="4">
        <v>180000</v>
      </c>
      <c r="BF84" s="111">
        <v>4200</v>
      </c>
      <c r="BG84" s="111">
        <v>8500</v>
      </c>
      <c r="BH84" s="113">
        <v>20200</v>
      </c>
    </row>
    <row r="85" spans="2:60" ht="13.8" thickBot="1" x14ac:dyDescent="0.3">
      <c r="AX85" s="4">
        <v>180000</v>
      </c>
      <c r="AY85" s="118">
        <v>0.9</v>
      </c>
      <c r="AZ85" s="111">
        <v>0.9</v>
      </c>
      <c r="BA85" s="111">
        <v>0.74</v>
      </c>
      <c r="BB85" s="111">
        <v>0.54</v>
      </c>
      <c r="BC85" s="117">
        <v>0.54</v>
      </c>
      <c r="BE85" s="4">
        <v>200000</v>
      </c>
      <c r="BF85" s="111">
        <v>4400</v>
      </c>
      <c r="BG85" s="111">
        <v>8900</v>
      </c>
      <c r="BH85" s="113">
        <v>21200</v>
      </c>
    </row>
    <row r="86" spans="2:60" x14ac:dyDescent="0.25">
      <c r="B86" s="46" t="s">
        <v>102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8"/>
      <c r="AX86" s="4">
        <v>200000</v>
      </c>
      <c r="AY86" s="118">
        <v>0.9</v>
      </c>
      <c r="AZ86" s="118">
        <v>0.9</v>
      </c>
      <c r="BA86" s="111">
        <v>0.81</v>
      </c>
      <c r="BB86" s="111">
        <v>0.64</v>
      </c>
      <c r="BC86" s="117">
        <v>0.64</v>
      </c>
      <c r="BE86" s="4">
        <v>220000</v>
      </c>
      <c r="BF86" s="118">
        <v>4400</v>
      </c>
      <c r="BG86" s="111">
        <v>9200</v>
      </c>
      <c r="BH86" s="113">
        <v>22100</v>
      </c>
    </row>
    <row r="87" spans="2:60" x14ac:dyDescent="0.25">
      <c r="B87" s="12" t="s">
        <v>103</v>
      </c>
      <c r="G87" s="100">
        <v>1</v>
      </c>
      <c r="H87" s="65" t="str">
        <f>IF(G87=0,"Enter a nonzero value to conduct an empirical Bayes analysis.","Enter zero to analyze two segments or scenarios for a segment.")</f>
        <v>Enter zero to analyze two segments or scenarios for a segment.</v>
      </c>
      <c r="L87" s="57"/>
      <c r="M87" s="62" t="s">
        <v>171</v>
      </c>
      <c r="N87" s="59" t="s">
        <v>172</v>
      </c>
      <c r="O87" s="60" t="s">
        <v>173</v>
      </c>
      <c r="AX87" s="4">
        <v>220000</v>
      </c>
      <c r="AY87" s="118">
        <v>0.9</v>
      </c>
      <c r="AZ87" s="118">
        <v>0.9</v>
      </c>
      <c r="BA87" s="111">
        <v>0.86</v>
      </c>
      <c r="BB87" s="111">
        <v>0.72</v>
      </c>
      <c r="BC87" s="117">
        <v>0.72</v>
      </c>
      <c r="BE87" s="4">
        <v>240000</v>
      </c>
      <c r="BF87" s="118">
        <v>4400</v>
      </c>
      <c r="BG87" s="111">
        <v>9600</v>
      </c>
      <c r="BH87" s="113">
        <v>22900</v>
      </c>
    </row>
    <row r="88" spans="2:60" x14ac:dyDescent="0.25">
      <c r="B88" s="12" t="s">
        <v>155</v>
      </c>
      <c r="G88" s="107">
        <v>15</v>
      </c>
      <c r="L88" s="57"/>
      <c r="M88" s="63">
        <f t="shared" ref="M88:M93" si="22">IF(AE88=1,1/(1+G10*O99),"")</f>
        <v>0.3345432343048238</v>
      </c>
      <c r="N88" s="10">
        <f t="shared" ref="N88:N93" si="23">IF(AE88=1,H99*O10,"")</f>
        <v>22.101669694932824</v>
      </c>
      <c r="O88" s="21">
        <f t="shared" ref="O88:O93" si="24">IF(AE88=1,N88*M88+G88/G$87*(1-M88),"")</f>
        <v>17.375815548707379</v>
      </c>
      <c r="AE88">
        <f>IF(AND(G$23&gt;0,G$87&gt;0),1,0)</f>
        <v>1</v>
      </c>
      <c r="AX88" s="4">
        <v>240000</v>
      </c>
      <c r="AY88" s="118">
        <v>0.9</v>
      </c>
      <c r="AZ88" s="118">
        <v>0.9</v>
      </c>
      <c r="BA88" s="111">
        <v>0.9</v>
      </c>
      <c r="BB88" s="111">
        <v>0.78</v>
      </c>
      <c r="BC88" s="117">
        <v>0.78</v>
      </c>
      <c r="BE88" s="4">
        <v>260000</v>
      </c>
      <c r="BF88" s="118">
        <v>4400</v>
      </c>
      <c r="BG88" s="111">
        <v>9900</v>
      </c>
      <c r="BH88" s="113">
        <v>23700</v>
      </c>
    </row>
    <row r="89" spans="2:60" x14ac:dyDescent="0.25">
      <c r="B89" s="12" t="s">
        <v>156</v>
      </c>
      <c r="G89" s="107">
        <v>50</v>
      </c>
      <c r="L89" s="57"/>
      <c r="M89" s="63">
        <f t="shared" si="22"/>
        <v>0.22440285381812086</v>
      </c>
      <c r="N89" s="10">
        <f t="shared" si="23"/>
        <v>49.375304469835491</v>
      </c>
      <c r="O89" s="21">
        <f t="shared" si="24"/>
        <v>49.859816540263658</v>
      </c>
      <c r="AE89">
        <f>IF(AND(G$23&gt;0,G$87&gt;0),1,0)</f>
        <v>1</v>
      </c>
      <c r="AX89" s="4">
        <v>260000</v>
      </c>
      <c r="AY89" s="118">
        <v>0.9</v>
      </c>
      <c r="AZ89" s="118">
        <v>0.9</v>
      </c>
      <c r="BA89" s="118">
        <v>0.9</v>
      </c>
      <c r="BB89" s="111">
        <v>0.83</v>
      </c>
      <c r="BC89" s="117">
        <v>0.83</v>
      </c>
      <c r="BE89" s="4">
        <v>280000</v>
      </c>
      <c r="BF89" s="118">
        <v>4400</v>
      </c>
      <c r="BG89" s="111">
        <v>10300</v>
      </c>
      <c r="BH89" s="113">
        <v>24500</v>
      </c>
    </row>
    <row r="90" spans="2:60" x14ac:dyDescent="0.25">
      <c r="B90" s="12" t="s">
        <v>157</v>
      </c>
      <c r="G90" s="107">
        <v>3</v>
      </c>
      <c r="L90" s="57"/>
      <c r="M90" s="63">
        <f t="shared" si="22"/>
        <v>0.64756365573068442</v>
      </c>
      <c r="N90" s="10">
        <f t="shared" si="23"/>
        <v>1.183151585211109</v>
      </c>
      <c r="O90" s="21">
        <f t="shared" si="24"/>
        <v>1.8234749986108068</v>
      </c>
      <c r="AE90">
        <f>IF(AND(G$24&gt;0,G$87&gt;0),1,0)</f>
        <v>1</v>
      </c>
      <c r="AX90" s="4">
        <v>280000</v>
      </c>
      <c r="AY90" s="118">
        <v>0.9</v>
      </c>
      <c r="AZ90" s="118">
        <v>0.9</v>
      </c>
      <c r="BA90" s="118">
        <v>0.9</v>
      </c>
      <c r="BB90" s="111">
        <v>0.87</v>
      </c>
      <c r="BC90" s="117">
        <v>0.87</v>
      </c>
      <c r="BE90" s="4">
        <v>300000</v>
      </c>
      <c r="BF90" s="118">
        <v>4400</v>
      </c>
      <c r="BG90" s="111">
        <v>10600</v>
      </c>
      <c r="BH90" s="113">
        <v>25300</v>
      </c>
    </row>
    <row r="91" spans="2:60" x14ac:dyDescent="0.25">
      <c r="B91" s="12" t="s">
        <v>158</v>
      </c>
      <c r="G91" s="107">
        <v>2</v>
      </c>
      <c r="L91" s="57"/>
      <c r="M91" s="63">
        <f t="shared" si="22"/>
        <v>0.71750451048941832</v>
      </c>
      <c r="N91" s="10">
        <f t="shared" si="23"/>
        <v>3.9371946152350756</v>
      </c>
      <c r="O91" s="21">
        <f t="shared" si="24"/>
        <v>3.3899458741269797</v>
      </c>
      <c r="AE91">
        <f>IF(AND(G$23&gt;0,G$87&gt;0),1,0)</f>
        <v>1</v>
      </c>
      <c r="AX91" s="4">
        <v>300000</v>
      </c>
      <c r="AY91" s="118">
        <v>0.9</v>
      </c>
      <c r="AZ91" s="118">
        <v>0.9</v>
      </c>
      <c r="BA91" s="118">
        <v>0.9</v>
      </c>
      <c r="BB91" s="111">
        <v>0.9</v>
      </c>
      <c r="BC91" s="117">
        <v>0.9</v>
      </c>
      <c r="BE91" s="78">
        <v>999999</v>
      </c>
      <c r="BF91" s="119">
        <v>4400</v>
      </c>
      <c r="BG91" s="119">
        <v>10600</v>
      </c>
      <c r="BH91" s="120">
        <v>25300</v>
      </c>
    </row>
    <row r="92" spans="2:60" x14ac:dyDescent="0.25">
      <c r="B92" s="12" t="s">
        <v>159</v>
      </c>
      <c r="G92" s="107">
        <v>9</v>
      </c>
      <c r="L92" s="57"/>
      <c r="M92" s="63">
        <f t="shared" si="22"/>
        <v>0.55774394841392116</v>
      </c>
      <c r="N92" s="10">
        <f t="shared" si="23"/>
        <v>7.2085220669927992</v>
      </c>
      <c r="O92" s="21">
        <f t="shared" si="24"/>
        <v>8.0008140241481538</v>
      </c>
      <c r="AE92">
        <f>IF(AND(G$23&gt;0,G$87&gt;0),1,0)</f>
        <v>1</v>
      </c>
      <c r="AX92" s="78">
        <v>999999</v>
      </c>
      <c r="AY92" s="119">
        <v>0.9</v>
      </c>
      <c r="AZ92" s="119">
        <v>0.9</v>
      </c>
      <c r="BA92" s="119">
        <v>0.9</v>
      </c>
      <c r="BB92" s="119">
        <v>0.9</v>
      </c>
      <c r="BC92" s="120">
        <v>0.9</v>
      </c>
    </row>
    <row r="93" spans="2:60" ht="13.8" thickBot="1" x14ac:dyDescent="0.3">
      <c r="B93" s="15" t="s">
        <v>160</v>
      </c>
      <c r="C93" s="17"/>
      <c r="D93" s="17"/>
      <c r="E93" s="17"/>
      <c r="F93" s="17"/>
      <c r="G93" s="110">
        <v>2</v>
      </c>
      <c r="H93" s="17"/>
      <c r="I93" s="17"/>
      <c r="J93" s="17"/>
      <c r="K93" s="17"/>
      <c r="L93" s="58"/>
      <c r="M93" s="64">
        <f t="shared" si="22"/>
        <v>0.80157827410953963</v>
      </c>
      <c r="N93" s="23">
        <f t="shared" si="23"/>
        <v>0.82512934086561429</v>
      </c>
      <c r="O93" s="24">
        <f t="shared" si="24"/>
        <v>1.0582492047491219</v>
      </c>
      <c r="AE93">
        <f>IF(AND(G$24&gt;0,G$87&gt;0),1,0)</f>
        <v>1</v>
      </c>
    </row>
    <row r="94" spans="2:60" ht="13.8" thickBot="1" x14ac:dyDescent="0.3">
      <c r="L94" s="57"/>
      <c r="M94" s="61"/>
      <c r="N94" s="10"/>
      <c r="O94" s="10"/>
    </row>
    <row r="95" spans="2:60" ht="13.8" thickBot="1" x14ac:dyDescent="0.3">
      <c r="B95" s="49" t="s">
        <v>304</v>
      </c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1"/>
    </row>
    <row r="96" spans="2:60" ht="13.8" thickBot="1" x14ac:dyDescent="0.3"/>
    <row r="97" spans="2:48" x14ac:dyDescent="0.25">
      <c r="B97" s="46" t="s">
        <v>108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8"/>
    </row>
    <row r="98" spans="2:48" x14ac:dyDescent="0.25">
      <c r="B98" s="55"/>
      <c r="C98" s="2"/>
      <c r="D98" s="2"/>
      <c r="E98" s="2"/>
      <c r="F98" s="2"/>
      <c r="G98" s="2"/>
      <c r="H98" s="2"/>
      <c r="I98" s="1"/>
      <c r="J98" s="2"/>
      <c r="K98" s="2"/>
      <c r="L98" s="2"/>
      <c r="M98" s="2"/>
      <c r="N98" s="75" t="s">
        <v>186</v>
      </c>
      <c r="O98" s="138" t="s">
        <v>47</v>
      </c>
      <c r="AA98" t="s">
        <v>187</v>
      </c>
      <c r="AB98" t="s">
        <v>188</v>
      </c>
      <c r="AC98" t="s">
        <v>319</v>
      </c>
      <c r="AD98" t="s">
        <v>320</v>
      </c>
      <c r="AM98" s="8" t="s">
        <v>43</v>
      </c>
      <c r="AN98" s="8" t="s">
        <v>44</v>
      </c>
      <c r="AO98" s="8" t="s">
        <v>45</v>
      </c>
      <c r="AP98" s="8" t="s">
        <v>75</v>
      </c>
      <c r="AQ98" s="8" t="s">
        <v>315</v>
      </c>
      <c r="AR98" s="8" t="s">
        <v>43</v>
      </c>
      <c r="AS98" s="8" t="s">
        <v>44</v>
      </c>
      <c r="AT98" s="8" t="s">
        <v>45</v>
      </c>
      <c r="AU98" s="8" t="s">
        <v>75</v>
      </c>
      <c r="AV98" s="8" t="s">
        <v>315</v>
      </c>
    </row>
    <row r="99" spans="2:48" x14ac:dyDescent="0.25">
      <c r="B99" s="12"/>
      <c r="F99" s="8" t="s">
        <v>117</v>
      </c>
      <c r="G99" s="10">
        <f>G$27*EXP($AM99+$AN99*LN($AO99*G$61))*$AP99*$AQ99</f>
        <v>12.293939426078815</v>
      </c>
      <c r="H99" s="10">
        <f>H$27*EXP($AR99+$AS99*LN($AT99*H$61))*$AU99*$AV99</f>
        <v>12.293939426078815</v>
      </c>
      <c r="I99" s="4"/>
      <c r="N99" t="s">
        <v>109</v>
      </c>
      <c r="O99" s="139">
        <f>VLOOKUP($N99&amp;","&amp;$G$21&amp;","&amp;$G$23,$BB$19:$BH$51,MATCH(O$98,$BB$19:$BH$19,0),FALSE)</f>
        <v>0.09</v>
      </c>
      <c r="AA99" t="str">
        <f>$N99&amp;","&amp;G$21&amp;","&amp;G$23</f>
        <v>MV,FI,Urban,8</v>
      </c>
      <c r="AB99" t="str">
        <f>$N99&amp;","&amp;H$21&amp;","&amp;H$23</f>
        <v>MV,FI,Urban,8</v>
      </c>
      <c r="AC99" t="str">
        <f>$N99&amp;",Rural"</f>
        <v>MV,FI,Rural</v>
      </c>
      <c r="AD99" t="str">
        <f>$N99&amp;",Rural"</f>
        <v>MV,FI,Rural</v>
      </c>
      <c r="AM99">
        <f t="shared" ref="AM99:AP100" si="25">VLOOKUP($AA99,$BB$19:$BH$51,MATCH(AM$98,$BB$19:$BH$19,0),FALSE)</f>
        <v>-5.6349999999999998</v>
      </c>
      <c r="AN99">
        <f t="shared" si="25"/>
        <v>1.492</v>
      </c>
      <c r="AO99">
        <f t="shared" si="25"/>
        <v>1E-3</v>
      </c>
      <c r="AP99">
        <f t="shared" si="25"/>
        <v>1.27</v>
      </c>
      <c r="AQ99">
        <f>IF(G$22=$AU$20,1,VLOOKUP(AC99,$BA$55:$BE$59,MATCH(VLOOKUP(G$22,$AU$20:$AV$45,2,FALSE),$BA$55:$BE$55,0),FALSE))</f>
        <v>1</v>
      </c>
      <c r="AR99">
        <f t="shared" ref="AR99:AU100" si="26">VLOOKUP($AB99,$BB$19:$BH$51,MATCH(AR$98,$BB$19:$BH$19,0),FALSE)</f>
        <v>-5.6349999999999998</v>
      </c>
      <c r="AS99">
        <f t="shared" si="26"/>
        <v>1.492</v>
      </c>
      <c r="AT99">
        <f t="shared" si="26"/>
        <v>1E-3</v>
      </c>
      <c r="AU99">
        <f t="shared" si="26"/>
        <v>1.27</v>
      </c>
      <c r="AV99">
        <f>IF(H$22=$AU$20,1,VLOOKUP(AD99,$BA$55:$BE$59,MATCH(VLOOKUP(H$22,$AU$20:$AV$45,2,FALSE),$BA$55:$BE$55,0),FALSE))</f>
        <v>1</v>
      </c>
    </row>
    <row r="100" spans="2:48" x14ac:dyDescent="0.25">
      <c r="B100" s="12"/>
      <c r="F100" s="8" t="s">
        <v>118</v>
      </c>
      <c r="G100" s="10">
        <f>G$27*EXP($AM100+$AN100*LN($AO100*G$61))*$AP100*$AQ100</f>
        <v>31.276404969545602</v>
      </c>
      <c r="H100" s="10">
        <f>H$27*EXP($AR100+$AS100*LN($AT100*H$61))*$AU100*$AV100</f>
        <v>31.276404969545602</v>
      </c>
      <c r="I100" s="4"/>
      <c r="N100" t="s">
        <v>110</v>
      </c>
      <c r="O100" s="139">
        <f>VLOOKUP($N100&amp;","&amp;$G$21&amp;","&amp;$G$23,$BB$19:$BH$51,MATCH(O$98,$BB$19:$BH$19,0),FALSE)</f>
        <v>7.0000000000000007E-2</v>
      </c>
      <c r="AA100" t="str">
        <f>$N100&amp;","&amp;G$21&amp;","&amp;G$23</f>
        <v>MV,PDO,Urban,8</v>
      </c>
      <c r="AB100" t="str">
        <f>$N100&amp;","&amp;H$21&amp;","&amp;H$23</f>
        <v>MV,PDO,Urban,8</v>
      </c>
      <c r="AC100" t="str">
        <f>$N100&amp;",Rural"</f>
        <v>MV,PDO,Rural</v>
      </c>
      <c r="AD100" t="str">
        <f>$N100&amp;",Rural"</f>
        <v>MV,PDO,Rural</v>
      </c>
      <c r="AM100">
        <f t="shared" si="25"/>
        <v>-6.9969999999999999</v>
      </c>
      <c r="AN100">
        <f t="shared" si="25"/>
        <v>1.9359999999999999</v>
      </c>
      <c r="AO100">
        <f t="shared" si="25"/>
        <v>1E-3</v>
      </c>
      <c r="AP100">
        <f t="shared" si="25"/>
        <v>1.2</v>
      </c>
      <c r="AQ100">
        <f>IF(G$22=$AU$20,1,VLOOKUP(AC100,$BA$55:$BE$59,MATCH(VLOOKUP(G$22,$AU$20:$AV$45,2,FALSE),$BA$55:$BE$55,0),FALSE))</f>
        <v>1</v>
      </c>
      <c r="AR100">
        <f t="shared" si="26"/>
        <v>-6.9969999999999999</v>
      </c>
      <c r="AS100">
        <f t="shared" si="26"/>
        <v>1.9359999999999999</v>
      </c>
      <c r="AT100">
        <f t="shared" si="26"/>
        <v>1E-3</v>
      </c>
      <c r="AU100">
        <f t="shared" si="26"/>
        <v>1.2</v>
      </c>
      <c r="AV100">
        <f>IF(H$22=$AU$20,1,VLOOKUP(AD100,$BA$55:$BE$59,MATCH(VLOOKUP(H$22,$AU$20:$AV$45,2,FALSE),$BA$55:$BE$55,0),FALSE))</f>
        <v>1</v>
      </c>
    </row>
    <row r="101" spans="2:48" x14ac:dyDescent="0.25">
      <c r="B101" s="12"/>
      <c r="F101" s="8" t="s">
        <v>143</v>
      </c>
      <c r="G101" s="10">
        <f>G$27*EXP($AM101+$AN101*LN($AO101*G$63))*$AP101</f>
        <v>1.5057057317798255</v>
      </c>
      <c r="H101" s="10">
        <f>H$27*EXP($AR101+$AS101*LN($AT101*H$63))*$AU101</f>
        <v>1.5057057317798255</v>
      </c>
      <c r="I101" s="4"/>
      <c r="N101" t="s">
        <v>55</v>
      </c>
      <c r="O101" s="139">
        <f>VLOOKUP($N101&amp;","&amp;IF($G$25="Reversible",$G$25,$G$26),$AZ$62:$BE$70,MATCH(O$98,$AZ$62:$BE$62,0),FALSE)</f>
        <v>0.46</v>
      </c>
      <c r="AA101" t="str">
        <f>$N101&amp;","&amp;IF(G$25="Reversible",G$25,G$26)</f>
        <v>MV,Barrier</v>
      </c>
      <c r="AB101" t="str">
        <f>$N101&amp;","&amp;IF(H$25="Reversible",H$25,H$26)</f>
        <v>MV,Barrier</v>
      </c>
      <c r="AM101">
        <f>VLOOKUP($AA101,$AZ$62:$BE$70,MATCH(AM$98,$AZ$62:$BE$62,0),FALSE)</f>
        <v>-5.5872999999999999</v>
      </c>
      <c r="AN101">
        <f>VLOOKUP($AA101,$AZ$62:$BE$70,MATCH(AN$98,$AZ$62:$BE$62,0),FALSE)</f>
        <v>0.60550000000000004</v>
      </c>
      <c r="AO101">
        <f>VLOOKUP($AA101,$AZ$62:$BE$70,MATCH(AO$98,$AZ$62:$BE$62,0),FALSE)</f>
        <v>1</v>
      </c>
      <c r="AP101">
        <f>VLOOKUP($AA101,$AZ$62:$BE$70,MATCH(AP$98,$AZ$62:$BE$62,0),FALSE)</f>
        <v>1</v>
      </c>
      <c r="AR101">
        <f>VLOOKUP($AB101,$AZ$62:$BE$70,MATCH(AR$98,$AZ$62:$BE$62,0),FALSE)</f>
        <v>-5.5872999999999999</v>
      </c>
      <c r="AS101">
        <f>VLOOKUP($AB101,$AZ$62:$BE$70,MATCH(AS$98,$AZ$62:$BE$62,0),FALSE)</f>
        <v>0.60550000000000004</v>
      </c>
      <c r="AT101">
        <f>VLOOKUP($AB101,$AZ$62:$BE$70,MATCH(AT$98,$AZ$62:$BE$62,0),FALSE)</f>
        <v>1</v>
      </c>
      <c r="AU101">
        <f>VLOOKUP($AB101,$AZ$62:$BE$70,MATCH(AU$98,$AZ$62:$BE$62,0),FALSE)</f>
        <v>1</v>
      </c>
    </row>
    <row r="102" spans="2:48" x14ac:dyDescent="0.25">
      <c r="B102" s="12"/>
      <c r="F102" s="8" t="s">
        <v>119</v>
      </c>
      <c r="G102" s="10">
        <f>G$27*EXP($AM102+$AN102*LN($AO102*G$61))*$AP102*$AQ102</f>
        <v>5.2638177428468156</v>
      </c>
      <c r="H102" s="10">
        <f>H$27*EXP($AR102+$AS102*LN($AT102*H$61))*$AU102*$AV102</f>
        <v>5.2638177428468156</v>
      </c>
      <c r="I102" s="4"/>
      <c r="N102" t="s">
        <v>111</v>
      </c>
      <c r="O102" s="139">
        <f>VLOOKUP($N102&amp;","&amp;$G$21&amp;","&amp;$G$23,$BB$19:$BH$51,MATCH(O$98,$BB$19:$BH$19,0),FALSE)</f>
        <v>0.1</v>
      </c>
      <c r="AA102" t="str">
        <f>$N102&amp;","&amp;G$21&amp;","&amp;G$23</f>
        <v>SV,FI,Urban,8</v>
      </c>
      <c r="AB102" t="str">
        <f>$N102&amp;","&amp;H$21&amp;","&amp;H$23</f>
        <v>SV,FI,Urban,8</v>
      </c>
      <c r="AC102" t="str">
        <f>$N102&amp;",Rural"</f>
        <v>SV,FI,Rural</v>
      </c>
      <c r="AD102" t="str">
        <f>$N102&amp;",Rural"</f>
        <v>SV,FI,Rural</v>
      </c>
      <c r="AM102">
        <f t="shared" ref="AM102:AP103" si="27">VLOOKUP($AA102,$BB$19:$BH$51,MATCH(AM$98,$BB$19:$BH$19,0),FALSE)</f>
        <v>-1.9850000000000001</v>
      </c>
      <c r="AN102">
        <f t="shared" si="27"/>
        <v>0.64600000000000002</v>
      </c>
      <c r="AO102">
        <f t="shared" si="27"/>
        <v>1E-3</v>
      </c>
      <c r="AP102">
        <f t="shared" si="27"/>
        <v>1.25</v>
      </c>
      <c r="AQ102">
        <f>IF(G$22=$AU$20,1,VLOOKUP(AC102,$BA$55:$BE$59,MATCH(VLOOKUP(G$22,$AU$20:$AV$45,2,FALSE),$BA$55:$BE$55,0),FALSE))</f>
        <v>1</v>
      </c>
      <c r="AR102">
        <f t="shared" ref="AR102:AU103" si="28">VLOOKUP($AB102,$BB$19:$BH$51,MATCH(AR$98,$BB$19:$BH$19,0),FALSE)</f>
        <v>-1.9850000000000001</v>
      </c>
      <c r="AS102">
        <f t="shared" si="28"/>
        <v>0.64600000000000002</v>
      </c>
      <c r="AT102">
        <f t="shared" si="28"/>
        <v>1E-3</v>
      </c>
      <c r="AU102">
        <f t="shared" si="28"/>
        <v>1.25</v>
      </c>
      <c r="AV102">
        <f>IF(H$22=$AU$20,1,VLOOKUP(AD102,$BA$55:$BE$59,MATCH(VLOOKUP(H$22,$AU$20:$AV$45,2,FALSE),$BA$55:$BE$55,0),FALSE))</f>
        <v>1</v>
      </c>
    </row>
    <row r="103" spans="2:48" x14ac:dyDescent="0.25">
      <c r="B103" s="12"/>
      <c r="F103" s="8" t="s">
        <v>120</v>
      </c>
      <c r="G103" s="10">
        <f>G$27*EXP($AM103+$AN103*LN($AO103*G$61))*$AP103*$AQ103</f>
        <v>10.681857335704796</v>
      </c>
      <c r="H103" s="10">
        <f>H$27*EXP($AR103+$AS103*LN($AT103*H$61))*$AU103*$AV103</f>
        <v>10.681857335704796</v>
      </c>
      <c r="I103" s="4"/>
      <c r="N103" t="s">
        <v>112</v>
      </c>
      <c r="O103" s="139">
        <f>VLOOKUP($N103&amp;","&amp;$G$21&amp;","&amp;$G$23,$BB$19:$BH$51,MATCH(O$98,$BB$19:$BH$19,0),FALSE)</f>
        <v>0.11</v>
      </c>
      <c r="AA103" t="str">
        <f>$N103&amp;","&amp;G$21&amp;","&amp;G$23</f>
        <v>SV,PDO,Urban,8</v>
      </c>
      <c r="AB103" t="str">
        <f>$N103&amp;","&amp;H$21&amp;","&amp;H$23</f>
        <v>SV,PDO,Urban,8</v>
      </c>
      <c r="AC103" t="str">
        <f>$N103&amp;",Rural"</f>
        <v>SV,PDO,Rural</v>
      </c>
      <c r="AD103" t="str">
        <f>$N103&amp;",Rural"</f>
        <v>SV,PDO,Rural</v>
      </c>
      <c r="AM103">
        <f t="shared" si="27"/>
        <v>-2.3119999999999998</v>
      </c>
      <c r="AN103">
        <f t="shared" si="27"/>
        <v>0.876</v>
      </c>
      <c r="AO103">
        <f t="shared" si="27"/>
        <v>1E-3</v>
      </c>
      <c r="AP103">
        <f t="shared" si="27"/>
        <v>1.04</v>
      </c>
      <c r="AQ103">
        <f>IF(G$22=$AU$20,1,VLOOKUP(AC103,$BA$55:$BE$59,MATCH(VLOOKUP(G$22,$AU$20:$AV$45,2,FALSE),$BA$55:$BE$55,0),FALSE))</f>
        <v>1</v>
      </c>
      <c r="AR103">
        <f t="shared" si="28"/>
        <v>-2.3119999999999998</v>
      </c>
      <c r="AS103">
        <f t="shared" si="28"/>
        <v>0.876</v>
      </c>
      <c r="AT103">
        <f t="shared" si="28"/>
        <v>1E-3</v>
      </c>
      <c r="AU103">
        <f t="shared" si="28"/>
        <v>1.04</v>
      </c>
      <c r="AV103">
        <f>IF(H$22=$AU$20,1,VLOOKUP(AD103,$BA$55:$BE$59,MATCH(VLOOKUP(H$22,$AU$20:$AV$45,2,FALSE),$BA$55:$BE$55,0),FALSE))</f>
        <v>1</v>
      </c>
    </row>
    <row r="104" spans="2:48" ht="13.8" thickBot="1" x14ac:dyDescent="0.3">
      <c r="B104" s="15"/>
      <c r="C104" s="17"/>
      <c r="D104" s="17"/>
      <c r="E104" s="17"/>
      <c r="F104" s="22" t="s">
        <v>144</v>
      </c>
      <c r="G104" s="23">
        <f>G$27*EXP($AM104+$AN104*LN($AO104*G$63))*$AP104</f>
        <v>0.88871815642320984</v>
      </c>
      <c r="H104" s="23">
        <f>H$27*EXP($AR104+$AS104*LN($AT104*H$63))*$AU104</f>
        <v>0.88871815642320984</v>
      </c>
      <c r="I104" s="16"/>
      <c r="J104" s="17"/>
      <c r="K104" s="17"/>
      <c r="L104" s="17"/>
      <c r="M104" s="17"/>
      <c r="N104" s="17" t="s">
        <v>56</v>
      </c>
      <c r="O104" s="140">
        <f>VLOOKUP($N104&amp;","&amp;IF($G$25="Reversible",$G$25,$G$26),$AZ$62:$BE$70,MATCH(O$98,$AZ$62:$BE$62,0),FALSE)</f>
        <v>0.3</v>
      </c>
      <c r="AA104" t="str">
        <f>$N104&amp;","&amp;IF(G$25="Reversible",G$25,G$26)</f>
        <v>SV,Barrier</v>
      </c>
      <c r="AB104" t="str">
        <f>$N104&amp;","&amp;IF(H$25="Reversible",H$25,H$26)</f>
        <v>SV,Barrier</v>
      </c>
      <c r="AM104">
        <f>VLOOKUP($AA104,$AZ$62:$BE$70,MATCH(AM$98,$AZ$62:$BE$62,0),FALSE)</f>
        <v>-4.4764999999999997</v>
      </c>
      <c r="AN104">
        <f>VLOOKUP($AA104,$AZ$62:$BE$70,MATCH(AN$98,$AZ$62:$BE$62,0),FALSE)</f>
        <v>0.44009999999999999</v>
      </c>
      <c r="AO104">
        <f>VLOOKUP($AA104,$AZ$62:$BE$70,MATCH(AO$98,$AZ$62:$BE$62,0),FALSE)</f>
        <v>1</v>
      </c>
      <c r="AP104">
        <f>VLOOKUP($AA104,$AZ$62:$BE$70,MATCH(AP$98,$AZ$62:$BE$62,0),FALSE)</f>
        <v>1</v>
      </c>
      <c r="AR104">
        <f>VLOOKUP($AB104,$AZ$62:$BE$70,MATCH(AR$98,$AZ$62:$BE$62,0),FALSE)</f>
        <v>-4.4764999999999997</v>
      </c>
      <c r="AS104">
        <f>VLOOKUP($AB104,$AZ$62:$BE$70,MATCH(AS$98,$AZ$62:$BE$62,0),FALSE)</f>
        <v>0.44009999999999999</v>
      </c>
      <c r="AT104">
        <f>VLOOKUP($AB104,$AZ$62:$BE$70,MATCH(AT$98,$AZ$62:$BE$62,0),FALSE)</f>
        <v>1</v>
      </c>
      <c r="AU104">
        <f>VLOOKUP($AB104,$AZ$62:$BE$70,MATCH(AU$98,$AZ$62:$BE$62,0),FALSE)</f>
        <v>1</v>
      </c>
    </row>
    <row r="105" spans="2:48" ht="13.8" thickBot="1" x14ac:dyDescent="0.3"/>
    <row r="106" spans="2:48" x14ac:dyDescent="0.25">
      <c r="B106" s="46" t="s">
        <v>28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8"/>
    </row>
    <row r="107" spans="2:48" x14ac:dyDescent="0.25">
      <c r="B107" s="52" t="s">
        <v>67</v>
      </c>
      <c r="I107" s="1"/>
      <c r="O107" s="14"/>
    </row>
    <row r="108" spans="2:48" x14ac:dyDescent="0.25">
      <c r="B108" s="12">
        <v>1</v>
      </c>
      <c r="C108" t="s">
        <v>29</v>
      </c>
      <c r="G108" s="10">
        <f>1+$AM108*(5730/G$67)^2*G$168</f>
        <v>1.0000056473717469</v>
      </c>
      <c r="H108" s="10">
        <f>1+$AM108*(5730/H$67)^2*H$168</f>
        <v>1.0000056473717469</v>
      </c>
      <c r="I108" s="4"/>
      <c r="O108" s="14"/>
      <c r="AM108">
        <v>1.72E-2</v>
      </c>
    </row>
    <row r="109" spans="2:48" x14ac:dyDescent="0.25">
      <c r="B109" s="12">
        <v>2</v>
      </c>
      <c r="C109" t="s">
        <v>30</v>
      </c>
      <c r="G109" s="10">
        <f>IF(G$70&lt;13,EXP($AM109*(G$70-$AL109)),AN109)</f>
        <v>1</v>
      </c>
      <c r="H109" s="10">
        <f>IF(H$70&lt;13,EXP($AM109*(H$70-$AL109)),AO109)</f>
        <v>1</v>
      </c>
      <c r="I109" s="4"/>
      <c r="O109" s="14"/>
      <c r="AL109">
        <v>12</v>
      </c>
      <c r="AM109">
        <v>-3.7600000000000001E-2</v>
      </c>
      <c r="AN109">
        <v>0.96299999999999997</v>
      </c>
    </row>
    <row r="110" spans="2:48" x14ac:dyDescent="0.25">
      <c r="B110" s="12">
        <v>3</v>
      </c>
      <c r="C110" t="s">
        <v>31</v>
      </c>
      <c r="G110" s="10">
        <f>EXP($AM110*(G$72-$AL110))</f>
        <v>0.96618495335106291</v>
      </c>
      <c r="H110" s="10">
        <f>EXP($AM110*(H$72-$AL110))</f>
        <v>0.96618495335106291</v>
      </c>
      <c r="I110" s="4"/>
      <c r="M110" s="45" t="s">
        <v>107</v>
      </c>
      <c r="O110" s="14"/>
      <c r="AL110">
        <v>6</v>
      </c>
      <c r="AM110">
        <v>-1.72E-2</v>
      </c>
    </row>
    <row r="111" spans="2:48" ht="15.6" x14ac:dyDescent="0.35">
      <c r="B111" s="12">
        <v>4</v>
      </c>
      <c r="C111" t="s">
        <v>32</v>
      </c>
      <c r="G111" s="10">
        <f>(1-G$169)*EXP($AM111*(MIN(G$73,$AC111)-2*G$72-$AL111))+G$169*EXP($AM111*(2*N$168-$AL111))</f>
        <v>1.1148501485936366</v>
      </c>
      <c r="H111" s="10">
        <f>(1-H$169)*EXP($AM111*(MIN(H$73,$AC111)-2*H$72-$AL111))+H$169*EXP($AM111*(2*O$168-$AL111))</f>
        <v>1.1148501485936366</v>
      </c>
      <c r="I111" s="4"/>
      <c r="M111" t="s">
        <v>225</v>
      </c>
      <c r="N111" s="10">
        <f>IF(G$33=0,1,(1-G$172)+G$172*EXP($AM$114/G$33))</f>
        <v>1.2211270543153563</v>
      </c>
      <c r="O111" s="21">
        <f>IF(H$33=0,1,(1-H$172)+H$172*EXP($AM$114/H$33))</f>
        <v>1.2211270543153563</v>
      </c>
      <c r="AC111">
        <v>90</v>
      </c>
      <c r="AL111">
        <v>48</v>
      </c>
      <c r="AM111">
        <v>-3.0200000000000001E-3</v>
      </c>
    </row>
    <row r="112" spans="2:48" ht="15.6" x14ac:dyDescent="0.35">
      <c r="B112" s="12">
        <v>5</v>
      </c>
      <c r="C112" t="s">
        <v>33</v>
      </c>
      <c r="G112" s="10">
        <f>(1-G$169)+G$169*EXP($AM112/N$168)</f>
        <v>1.0220734247034013</v>
      </c>
      <c r="H112" s="10">
        <f>(1-H$169)+H$169*EXP($AM112/O$168)</f>
        <v>1.0220734247034013</v>
      </c>
      <c r="I112" s="4"/>
      <c r="M112" t="s">
        <v>226</v>
      </c>
      <c r="N112" s="10">
        <f>IF(G$34=0,1,(1-G$172)+G$172*EXP($AM$114/G$34))</f>
        <v>1.2211270543153563</v>
      </c>
      <c r="O112" s="21">
        <f>IF(H$34=0,1,(1-H$172)+H$172*EXP($AM$114/H$34))</f>
        <v>1.2211270543153563</v>
      </c>
      <c r="AM112">
        <v>0.13100000000000001</v>
      </c>
    </row>
    <row r="113" spans="2:42" ht="15.6" x14ac:dyDescent="0.35">
      <c r="B113" s="12">
        <v>6</v>
      </c>
      <c r="C113" t="s">
        <v>34</v>
      </c>
      <c r="G113" s="10">
        <f>EXP($AM113*G$171)</f>
        <v>1.3277688803138623</v>
      </c>
      <c r="H113" s="10">
        <f>EXP($AM113*H$171)</f>
        <v>1.3277688803138623</v>
      </c>
      <c r="I113" s="4"/>
      <c r="M113" t="s">
        <v>227</v>
      </c>
      <c r="N113" s="10">
        <f>(1+EXP(-$AN$114*G$36+$AP$114*LN($AO$114*N$169))/($AN$114*G$27)*(1-EXP(-$AN$114*G$27)))*(1+EXP(-$AN$114*G$48+$AP$114*LN($AO$114*N$172))/($AN$114*G$27)*(1-EXP(-$AN$114*G$27)))</f>
        <v>1.007138879294238</v>
      </c>
      <c r="O113" s="21">
        <f>(1+EXP(-$AN$114*H$36+$AP$114*LN($AO$114*O$169))/($AN$114*H$27)*(1-EXP(-$AN$114*H$27)))*(1+EXP(-$AN$114*H$48+$AP$114*LN($AO$114*O$172))/($AN$114*H$27)*(1-EXP(-$AN$114*H$27)))</f>
        <v>1.007138879294238</v>
      </c>
      <c r="AM113">
        <v>0.35</v>
      </c>
    </row>
    <row r="114" spans="2:42" ht="15.6" x14ac:dyDescent="0.35">
      <c r="B114" s="12">
        <v>7</v>
      </c>
      <c r="C114" t="s">
        <v>35</v>
      </c>
      <c r="G114" s="10">
        <f>0.5*N111*N113+0.5*N112*N114</f>
        <v>1.2298445329590419</v>
      </c>
      <c r="H114" s="10">
        <f>0.5*O111*O113+0.5*O112*O114</f>
        <v>1.2298445329590419</v>
      </c>
      <c r="I114" s="4"/>
      <c r="M114" t="s">
        <v>228</v>
      </c>
      <c r="N114" s="10">
        <f>(1+EXP(-$AN$114*G$40+$AP$114*LN($AO$114*N$170))/($AN$114*G$27)*(1-EXP(-$AN$114*G$27)))*(1+EXP(-$AN$114*G$44+$AP$114*LN($AO$114*N$171))/($AN$114*G$27)*(1-EXP(-$AN$114*G$27)))</f>
        <v>1.007138879294238</v>
      </c>
      <c r="O114" s="21">
        <f>(1+EXP(-$AN$114*H$40+$AP$114*LN($AO$114*O$170))/($AN$114*H$27)*(1-EXP(-$AN$114*H$27)))*(1+EXP(-$AN$114*H$44+$AP$114*LN($AO$114*O$171))/($AN$114*H$27)*(1-EXP(-$AN$114*H$27)))</f>
        <v>1.007138879294238</v>
      </c>
      <c r="AM114">
        <v>0.17499999999999999</v>
      </c>
      <c r="AN114">
        <v>12.56</v>
      </c>
      <c r="AO114">
        <v>1E-3</v>
      </c>
      <c r="AP114">
        <v>-0.27200000000000002</v>
      </c>
    </row>
    <row r="115" spans="2:42" x14ac:dyDescent="0.25">
      <c r="B115" s="12">
        <v>12</v>
      </c>
      <c r="C115" t="s">
        <v>40</v>
      </c>
      <c r="G115" s="10" t="str">
        <f>IF(G$52="Entrance",EXP($AM115*IF(G$53="Left",1,0)+$AN115/G$27+$AP115*LN($AO115*N$173)),"")</f>
        <v/>
      </c>
      <c r="H115" s="10" t="str">
        <f>IF(H$52="Entrance",EXP($AM115*IF(H$53="Left",1,0)+$AN115/H$27+$AP115*LN($AO115*O$173)),"")</f>
        <v/>
      </c>
      <c r="I115" s="4"/>
      <c r="O115" s="14"/>
      <c r="AM115">
        <v>0.59399999999999997</v>
      </c>
      <c r="AN115">
        <v>3.1800000000000002E-2</v>
      </c>
      <c r="AO115">
        <v>1E-3</v>
      </c>
      <c r="AP115">
        <v>0.19800000000000001</v>
      </c>
    </row>
    <row r="116" spans="2:42" x14ac:dyDescent="0.25">
      <c r="B116" s="54">
        <v>13</v>
      </c>
      <c r="C116" s="7" t="s">
        <v>41</v>
      </c>
      <c r="D116" s="7"/>
      <c r="E116" s="7"/>
      <c r="F116" s="7"/>
      <c r="G116" s="11" t="str">
        <f>IF(G$52="Exit",EXP($AM116*IF(G$53="Left",1,0)+$AN116/G$27),"")</f>
        <v/>
      </c>
      <c r="H116" s="11" t="str">
        <f>IF(H$52="Exit",EXP($AM116*IF(H$53="Left",1,0)+$AN116/H$27),"")</f>
        <v/>
      </c>
      <c r="I116" s="6"/>
      <c r="J116" s="7"/>
      <c r="K116" s="7"/>
      <c r="L116" s="7"/>
      <c r="M116" s="7"/>
      <c r="N116" s="7"/>
      <c r="O116" s="31"/>
      <c r="AM116">
        <v>0.59399999999999997</v>
      </c>
      <c r="AN116">
        <v>1.1599999999999999E-2</v>
      </c>
    </row>
    <row r="117" spans="2:42" x14ac:dyDescent="0.25">
      <c r="B117" s="53" t="s">
        <v>68</v>
      </c>
      <c r="C117" s="2"/>
      <c r="D117" s="2"/>
      <c r="E117" s="2"/>
      <c r="F117" s="2"/>
      <c r="G117" s="2"/>
      <c r="H117" s="2"/>
      <c r="I117" s="1"/>
      <c r="J117" s="2"/>
      <c r="K117" s="2"/>
      <c r="L117" s="2"/>
      <c r="M117" s="2"/>
      <c r="N117" s="2"/>
      <c r="O117" s="13"/>
    </row>
    <row r="118" spans="2:42" x14ac:dyDescent="0.25">
      <c r="B118" s="12">
        <v>1</v>
      </c>
      <c r="C118" t="s">
        <v>29</v>
      </c>
      <c r="G118" s="10">
        <f>1+$AM118*(5730/G$67)^2*G$168</f>
        <v>1.000011163409267</v>
      </c>
      <c r="H118" s="10">
        <f>1+$AM118*(5730/H$67)^2*H$168</f>
        <v>1.000011163409267</v>
      </c>
      <c r="I118" s="4"/>
      <c r="O118" s="14"/>
      <c r="AM118">
        <v>3.4000000000000002E-2</v>
      </c>
    </row>
    <row r="119" spans="2:42" x14ac:dyDescent="0.25">
      <c r="B119" s="12">
        <v>2</v>
      </c>
      <c r="C119" t="s">
        <v>30</v>
      </c>
      <c r="G119" s="10">
        <f>IF(G$70&lt;13,EXP($AM119*(G$70-$AL119)),AN119)</f>
        <v>1</v>
      </c>
      <c r="H119" s="10">
        <f>IF(H$70&lt;13,EXP($AM119*(H$70-$AL119)),AO119)</f>
        <v>1</v>
      </c>
      <c r="I119" s="4"/>
      <c r="O119" s="14"/>
      <c r="AL119">
        <v>12</v>
      </c>
      <c r="AM119">
        <v>-3.7600000000000001E-2</v>
      </c>
      <c r="AN119">
        <v>0.96299999999999997</v>
      </c>
    </row>
    <row r="120" spans="2:42" x14ac:dyDescent="0.25">
      <c r="B120" s="12">
        <v>3</v>
      </c>
      <c r="C120" t="s">
        <v>31</v>
      </c>
      <c r="G120" s="10">
        <f>EXP($AM120*(G$72-$AL120))</f>
        <v>0.96986344087364429</v>
      </c>
      <c r="H120" s="10">
        <f>EXP($AM120*(H$72-$AL120))</f>
        <v>0.96986344087364429</v>
      </c>
      <c r="I120" s="4"/>
      <c r="M120" s="45" t="s">
        <v>107</v>
      </c>
      <c r="O120" s="14"/>
      <c r="AL120">
        <v>6</v>
      </c>
      <c r="AM120">
        <v>-1.5299999999999999E-2</v>
      </c>
    </row>
    <row r="121" spans="2:42" ht="15.6" x14ac:dyDescent="0.35">
      <c r="B121" s="12">
        <v>4</v>
      </c>
      <c r="C121" t="s">
        <v>32</v>
      </c>
      <c r="G121" s="10">
        <f>(1-G$169)*EXP($AM121*(MIN(G$73,$AC121)-2*G$72-$AL121))+G$169*EXP($AM121*(2*N$168-$AL121))</f>
        <v>1.1104440717951265</v>
      </c>
      <c r="H121" s="10">
        <f>(1-H$169)*EXP($AM121*(MIN(H$73,$AC121)-2*H$72-$AL121))+H$169*EXP($AM121*(2*O$168-$AL121))</f>
        <v>1.1104440717951265</v>
      </c>
      <c r="I121" s="4"/>
      <c r="M121" t="s">
        <v>225</v>
      </c>
      <c r="N121" s="10">
        <f>IF(G$33=0,1,(1-G$172)+G$172*EXP($AM$124/G$33))</f>
        <v>1.1270499837532406</v>
      </c>
      <c r="O121" s="21">
        <f>IF(H$33=0,1,(1-H$172)+H$172*EXP($AM$124/H$33))</f>
        <v>1.1270499837532406</v>
      </c>
      <c r="AC121">
        <v>90</v>
      </c>
      <c r="AL121">
        <v>48</v>
      </c>
      <c r="AM121">
        <v>-2.9099999999999998E-3</v>
      </c>
    </row>
    <row r="122" spans="2:42" ht="15.6" x14ac:dyDescent="0.35">
      <c r="B122" s="12">
        <v>5</v>
      </c>
      <c r="C122" t="s">
        <v>33</v>
      </c>
      <c r="G122" s="10">
        <f>(1-G$169)+G$169*EXP($AM122/N$168)</f>
        <v>1.0285670979862289</v>
      </c>
      <c r="H122" s="10">
        <f>(1-H$169)+H$169*EXP($AM122/O$168)</f>
        <v>1.0285670979862289</v>
      </c>
      <c r="I122" s="4"/>
      <c r="M122" t="s">
        <v>226</v>
      </c>
      <c r="N122" s="10">
        <f>IF(G$34=0,1,(1-G$172)+G$172*EXP($AM$124/G$34))</f>
        <v>1.1270499837532406</v>
      </c>
      <c r="O122" s="21">
        <f>IF(H$34=0,1,(1-H$172)+H$172*EXP($AM$124/H$34))</f>
        <v>1.1270499837532406</v>
      </c>
      <c r="AM122">
        <v>0.16900000000000001</v>
      </c>
    </row>
    <row r="123" spans="2:42" ht="15.6" x14ac:dyDescent="0.35">
      <c r="B123" s="12">
        <v>6</v>
      </c>
      <c r="C123" t="s">
        <v>34</v>
      </c>
      <c r="G123" s="10">
        <f>EXP($AM123*G$171)</f>
        <v>1.2576312609380582</v>
      </c>
      <c r="H123" s="10">
        <f>EXP($AM123*H$171)</f>
        <v>1.2576312609380582</v>
      </c>
      <c r="I123" s="4"/>
      <c r="M123" t="s">
        <v>227</v>
      </c>
      <c r="N123" s="10">
        <f>(1+EXP(-$AN$124*G$36+$AP$124*LN($AO$124*N$169))/($AN$124*G$27)*(1-EXP(-$AN$124*G$27)))*(1+EXP(-$AN$124*G$48+$AP$124*LN($AO$124*N$172))/($AN$124*G$27)*(1-EXP(-$AN$124*G$27)))</f>
        <v>1.0054296835948211</v>
      </c>
      <c r="O123" s="21">
        <f>(1+EXP(-$AN$124*H$36+$AP$124*LN($AO$124*O$169))/($AN$124*H$27)*(1-EXP(-$AN$124*H$27)))*(1+EXP(-$AN$124*H$48+$AP$124*LN($AO$124*O$172))/($AN$124*H$27)*(1-EXP(-$AN$124*H$27)))</f>
        <v>1.0054296835948211</v>
      </c>
      <c r="AM123">
        <v>0.28299999999999997</v>
      </c>
    </row>
    <row r="124" spans="2:42" ht="15.6" x14ac:dyDescent="0.35">
      <c r="B124" s="12">
        <v>7</v>
      </c>
      <c r="C124" t="s">
        <v>35</v>
      </c>
      <c r="G124" s="10">
        <f>0.5*N121*N123+0.5*N122*N124</f>
        <v>1.1331695085605689</v>
      </c>
      <c r="H124" s="10">
        <f>0.5*O121*O123+0.5*O122*O124</f>
        <v>1.1331695085605689</v>
      </c>
      <c r="I124" s="4"/>
      <c r="M124" t="s">
        <v>228</v>
      </c>
      <c r="N124" s="10">
        <f>(1+EXP(-$AN$124*G$40+$AP$124*LN($AO$124*N$170))/($AN$124*G$27)*(1-EXP(-$AN$124*G$27)))*(1+EXP(-$AN$124*G$44+$AP$124*LN($AO$124*N$171))/($AN$124*G$27)*(1-EXP(-$AN$124*G$27)))</f>
        <v>1.0054296835948211</v>
      </c>
      <c r="O124" s="21">
        <f>(1+EXP(-$AN$124*H$40+$AP$124*LN($AO$124*O$170))/($AN$124*H$27)*(1-EXP(-$AN$124*H$27)))*(1+EXP(-$AN$124*H$44+$AP$124*LN($AO$124*O$171))/($AN$124*H$27)*(1-EXP(-$AN$124*H$27)))</f>
        <v>1.0054296835948211</v>
      </c>
      <c r="AM124">
        <v>0.123</v>
      </c>
      <c r="AN124">
        <v>13.46</v>
      </c>
      <c r="AO124">
        <v>1E-3</v>
      </c>
      <c r="AP124">
        <v>-0.28299999999999997</v>
      </c>
    </row>
    <row r="125" spans="2:42" x14ac:dyDescent="0.25">
      <c r="B125" s="12">
        <v>12</v>
      </c>
      <c r="C125" t="s">
        <v>130</v>
      </c>
      <c r="G125" s="10" t="str">
        <f>IF(G$52="None","",EXP($AM125*IF(G$53="Left",1,0)+$AN125/G$27+$AP125*LN($AO125*N$173)))</f>
        <v/>
      </c>
      <c r="H125" s="10" t="str">
        <f>IF(H$52="None","",EXP($AM125*IF(H$53="Left",1,0)+$AN125/H$27+$AP125*LN($AO125*O$173)))</f>
        <v/>
      </c>
      <c r="I125" s="4"/>
      <c r="O125" s="14"/>
      <c r="AM125">
        <v>0.82399999999999995</v>
      </c>
      <c r="AN125">
        <v>2.52E-2</v>
      </c>
      <c r="AO125">
        <v>1E-3</v>
      </c>
      <c r="AP125">
        <v>0</v>
      </c>
    </row>
    <row r="126" spans="2:42" x14ac:dyDescent="0.25">
      <c r="B126" s="54">
        <v>13</v>
      </c>
      <c r="C126" s="7" t="s">
        <v>131</v>
      </c>
      <c r="D126" s="7"/>
      <c r="E126" s="7"/>
      <c r="F126" s="7"/>
      <c r="G126" s="11" t="str">
        <f>IF(G$52="Exit",EXP($AM126*IF(G$53="Left",1,0)+$AN126/G$27),"")</f>
        <v/>
      </c>
      <c r="H126" s="11" t="str">
        <f>IF(H$52="Exit",EXP($AM126*IF(H$53="Left",1,0)+$AN126/H$27),"")</f>
        <v/>
      </c>
      <c r="I126" s="6"/>
      <c r="J126" s="7"/>
      <c r="K126" s="7"/>
      <c r="L126" s="7"/>
      <c r="M126" s="7"/>
      <c r="N126" s="7"/>
      <c r="O126" s="31"/>
      <c r="AM126">
        <v>0.82399999999999995</v>
      </c>
      <c r="AN126">
        <v>0</v>
      </c>
    </row>
    <row r="127" spans="2:42" x14ac:dyDescent="0.25">
      <c r="B127" s="53" t="s">
        <v>62</v>
      </c>
      <c r="C127" s="2"/>
      <c r="D127" s="2"/>
      <c r="E127" s="2"/>
      <c r="F127" s="2"/>
      <c r="G127" s="2"/>
      <c r="H127" s="2"/>
      <c r="I127" s="1"/>
      <c r="J127" s="2"/>
      <c r="K127" s="2"/>
      <c r="L127" s="2"/>
      <c r="M127" s="2"/>
      <c r="N127" s="2"/>
      <c r="O127" s="13"/>
    </row>
    <row r="128" spans="2:42" x14ac:dyDescent="0.25">
      <c r="B128" s="12">
        <v>47</v>
      </c>
      <c r="C128" t="s">
        <v>133</v>
      </c>
      <c r="D128" t="s">
        <v>36</v>
      </c>
      <c r="G128" s="10">
        <f>EXP($AM128*(G$71-$AL128))</f>
        <v>0.78577876157286053</v>
      </c>
      <c r="H128" s="10">
        <f>EXP($AM128*(H$71-$AL128))</f>
        <v>0.78577876157286053</v>
      </c>
      <c r="I128" s="4"/>
      <c r="O128" s="14"/>
      <c r="AL128">
        <v>4</v>
      </c>
      <c r="AM128">
        <v>-4.018E-2</v>
      </c>
    </row>
    <row r="129" spans="2:40" x14ac:dyDescent="0.25">
      <c r="B129" s="12">
        <v>48</v>
      </c>
      <c r="C129" t="s">
        <v>133</v>
      </c>
      <c r="D129" t="s">
        <v>125</v>
      </c>
      <c r="G129" s="10">
        <f>EXP($AM129*G$58/G$27)</f>
        <v>1</v>
      </c>
      <c r="H129" s="10">
        <f>EXP($AM129*H$58/H$27)</f>
        <v>1</v>
      </c>
      <c r="I129" s="4"/>
      <c r="O129" s="14"/>
      <c r="AM129">
        <v>0.27210000000000001</v>
      </c>
    </row>
    <row r="130" spans="2:40" x14ac:dyDescent="0.25">
      <c r="B130" s="12">
        <v>49</v>
      </c>
      <c r="C130" t="s">
        <v>133</v>
      </c>
      <c r="D130" t="s">
        <v>126</v>
      </c>
      <c r="G130" s="10">
        <f>EXP($AM130*G$57/G$27)</f>
        <v>1</v>
      </c>
      <c r="H130" s="10">
        <f>EXP($AM130*H$57/H$27)</f>
        <v>1</v>
      </c>
      <c r="I130" s="4"/>
      <c r="O130" s="14"/>
      <c r="AM130">
        <v>4.1730000000000003E-2</v>
      </c>
    </row>
    <row r="131" spans="2:40" x14ac:dyDescent="0.25">
      <c r="B131" s="12">
        <v>53</v>
      </c>
      <c r="C131" t="s">
        <v>134</v>
      </c>
      <c r="D131" t="s">
        <v>10</v>
      </c>
      <c r="G131" s="10">
        <f>EXP($AM131*IF(G$24&gt;1,1,0))</f>
        <v>1</v>
      </c>
      <c r="H131" s="10">
        <f>EXP($AM131*IF(H$24&gt;1,1,0))</f>
        <v>1</v>
      </c>
      <c r="I131" s="4"/>
      <c r="O131" s="14"/>
      <c r="AM131">
        <v>-0.76060000000000005</v>
      </c>
    </row>
    <row r="132" spans="2:40" x14ac:dyDescent="0.25">
      <c r="B132" s="12">
        <v>54</v>
      </c>
      <c r="C132" t="s">
        <v>134</v>
      </c>
      <c r="D132" t="s">
        <v>127</v>
      </c>
      <c r="G132" s="10">
        <f>EXP($AM132*(AVERAGE(G$71,G$72)-$AL132))</f>
        <v>9.4580874090305883E-2</v>
      </c>
      <c r="H132" s="10">
        <f>EXP($AM132*(AVERAGE(H$71,H$72)-$AL132))</f>
        <v>9.4580874090305883E-2</v>
      </c>
      <c r="I132" s="4"/>
      <c r="O132" s="14"/>
      <c r="AL132">
        <v>2</v>
      </c>
      <c r="AM132">
        <v>-0.33689999999999998</v>
      </c>
    </row>
    <row r="133" spans="2:40" x14ac:dyDescent="0.25">
      <c r="B133" s="54">
        <v>55</v>
      </c>
      <c r="C133" s="7" t="s">
        <v>134</v>
      </c>
      <c r="D133" s="7" t="s">
        <v>126</v>
      </c>
      <c r="E133" s="7"/>
      <c r="F133" s="7"/>
      <c r="G133" s="11">
        <f>EXP($AM133*G$57/G$27)</f>
        <v>1</v>
      </c>
      <c r="H133" s="11">
        <f>EXP($AM133*H$57/H$27)</f>
        <v>1</v>
      </c>
      <c r="I133" s="6"/>
      <c r="J133" s="7"/>
      <c r="K133" s="7"/>
      <c r="L133" s="7"/>
      <c r="M133" s="7"/>
      <c r="N133" s="7"/>
      <c r="O133" s="31"/>
      <c r="AM133">
        <v>5.0299999999999997E-2</v>
      </c>
    </row>
    <row r="134" spans="2:40" x14ac:dyDescent="0.25">
      <c r="B134" s="52" t="s">
        <v>60</v>
      </c>
      <c r="I134" s="4"/>
      <c r="O134" s="14"/>
    </row>
    <row r="135" spans="2:40" x14ac:dyDescent="0.25">
      <c r="B135" s="12">
        <v>1</v>
      </c>
      <c r="C135" t="s">
        <v>29</v>
      </c>
      <c r="G135" s="10">
        <f>1+$AM135*(5730/G$67)^2*G$168</f>
        <v>1.0000236073272442</v>
      </c>
      <c r="H135" s="10">
        <f>1+$AM135*(5730/H$67)^2*H$168</f>
        <v>1.0000236073272442</v>
      </c>
      <c r="I135" s="4"/>
      <c r="O135" s="14"/>
      <c r="AM135">
        <v>7.1900000000000006E-2</v>
      </c>
    </row>
    <row r="136" spans="2:40" x14ac:dyDescent="0.25">
      <c r="B136" s="12">
        <v>2</v>
      </c>
      <c r="C136" t="s">
        <v>30</v>
      </c>
      <c r="G136" s="10">
        <f>IF(G$70&lt;13,EXP($AM136*(G$70-$AL136)),AN136)</f>
        <v>1</v>
      </c>
      <c r="H136" s="10">
        <f>IF(H$70&lt;13,EXP($AM136*(H$70-$AL136)),AO136)</f>
        <v>1</v>
      </c>
      <c r="I136" s="4"/>
      <c r="O136" s="14"/>
      <c r="AL136">
        <v>12</v>
      </c>
      <c r="AM136">
        <v>-3.7600000000000001E-2</v>
      </c>
      <c r="AN136">
        <v>0.96299999999999997</v>
      </c>
    </row>
    <row r="137" spans="2:40" x14ac:dyDescent="0.25">
      <c r="B137" s="12">
        <v>3</v>
      </c>
      <c r="C137" t="s">
        <v>31</v>
      </c>
      <c r="G137" s="10">
        <f>EXP($AM137*(G$72-$AL137))</f>
        <v>0.96618495335106291</v>
      </c>
      <c r="H137" s="10">
        <f>EXP($AM137*(H$72-$AL137))</f>
        <v>0.96618495335106291</v>
      </c>
      <c r="I137" s="4"/>
      <c r="O137" s="14"/>
      <c r="AL137">
        <v>6</v>
      </c>
      <c r="AM137">
        <v>-1.72E-2</v>
      </c>
    </row>
    <row r="138" spans="2:40" x14ac:dyDescent="0.25">
      <c r="B138" s="12">
        <v>4</v>
      </c>
      <c r="C138" t="s">
        <v>32</v>
      </c>
      <c r="G138" s="10">
        <f>(1-G$169)*EXP($AM138*(MIN(G$73,$AC138)-2*G$72-$AL138))+G$169*EXP($AM138*(2*N$168-$AL138))</f>
        <v>0.96394600244658168</v>
      </c>
      <c r="H138" s="10">
        <f>(1-H$169)*EXP($AM138*(MIN(H$73,$AC138)-2*H$72-$AL138))+H$169*EXP($AM138*(2*O$168-$AL138))</f>
        <v>0.96394600244658168</v>
      </c>
      <c r="I138" s="4"/>
      <c r="O138" s="14"/>
      <c r="AC138">
        <v>90</v>
      </c>
      <c r="AL138">
        <v>48</v>
      </c>
      <c r="AM138">
        <v>1.0200000000000001E-3</v>
      </c>
    </row>
    <row r="139" spans="2:40" x14ac:dyDescent="0.25">
      <c r="B139" s="12">
        <v>5</v>
      </c>
      <c r="C139" t="s">
        <v>33</v>
      </c>
      <c r="G139" s="10">
        <f>(1-G$169)+G$169*EXP($AM139/N$168)</f>
        <v>1.0220734247034013</v>
      </c>
      <c r="H139" s="10">
        <f>(1-H$169)+H$169*EXP($AM139/O$168)</f>
        <v>1.0220734247034013</v>
      </c>
      <c r="I139" s="4"/>
      <c r="O139" s="14"/>
      <c r="AM139">
        <v>0.13100000000000001</v>
      </c>
    </row>
    <row r="140" spans="2:40" x14ac:dyDescent="0.25">
      <c r="B140" s="12">
        <v>6</v>
      </c>
      <c r="C140" t="s">
        <v>34</v>
      </c>
      <c r="G140" s="10">
        <f>EXP($AM140*G$171)</f>
        <v>0.9467928056182312</v>
      </c>
      <c r="H140" s="10">
        <f>EXP($AM140*H$171)</f>
        <v>0.9467928056182312</v>
      </c>
      <c r="I140" s="4"/>
      <c r="O140" s="14"/>
      <c r="AM140">
        <v>-6.7500000000000004E-2</v>
      </c>
    </row>
    <row r="141" spans="2:40" x14ac:dyDescent="0.25">
      <c r="B141" s="12">
        <v>8</v>
      </c>
      <c r="C141" t="s">
        <v>36</v>
      </c>
      <c r="G141" s="10">
        <f>(1-G$168)*EXP($AM141*(G$71-$AL141))+G$168*EXP($AN141*(G$71-$AL141))</f>
        <v>1</v>
      </c>
      <c r="H141" s="10">
        <f>(1-H$168)*EXP($AM141*(H$71-$AL141))+H$168*EXP($AN141*(H$71-$AL141))</f>
        <v>1</v>
      </c>
      <c r="I141" s="4"/>
      <c r="O141" s="14"/>
      <c r="AL141">
        <v>10</v>
      </c>
      <c r="AM141">
        <v>-6.4699999999999994E-2</v>
      </c>
      <c r="AN141">
        <v>-8.9700000000000002E-2</v>
      </c>
    </row>
    <row r="142" spans="2:40" x14ac:dyDescent="0.25">
      <c r="B142" s="12">
        <v>9</v>
      </c>
      <c r="C142" t="s">
        <v>37</v>
      </c>
      <c r="G142" s="10">
        <f>(1-G$168)*(0.5*((1-G$79)+G$79*$AM142)+0.5*((1-G$78)+G$78*$AM142))+G$168</f>
        <v>0.82990000000000008</v>
      </c>
      <c r="H142" s="10">
        <f>(1-H$168)*(0.5*((1-H$79)+H$79*$AM142)+0.5*((1-H$78)+H$78*$AM142))+H$168</f>
        <v>0.82990000000000008</v>
      </c>
      <c r="I142" s="4"/>
      <c r="O142" s="14"/>
      <c r="AM142">
        <v>0.81100000000000005</v>
      </c>
    </row>
    <row r="143" spans="2:40" x14ac:dyDescent="0.25">
      <c r="B143" s="12">
        <v>10</v>
      </c>
      <c r="C143" t="s">
        <v>38</v>
      </c>
      <c r="G143" s="10">
        <f>(1-G$170)*EXP($AM143*(MIN(G$82,$AC143)-G$71-$AL143))+G$170*EXP($AM143*(MIN(G$84,$AD143)-$AL143))</f>
        <v>1</v>
      </c>
      <c r="H143" s="10">
        <f>(1-H$170)*EXP($AM143*(MIN(H$82,$AC143)-H$71-$AL143))+H$170*EXP($AM143*(MIN(H$84,$AD143)-$AL143))</f>
        <v>1</v>
      </c>
      <c r="I143" s="4"/>
      <c r="O143" s="14"/>
      <c r="AC143">
        <v>30</v>
      </c>
      <c r="AD143">
        <v>17</v>
      </c>
      <c r="AL143">
        <v>20</v>
      </c>
      <c r="AM143">
        <v>-4.5100000000000001E-3</v>
      </c>
    </row>
    <row r="144" spans="2:40" x14ac:dyDescent="0.25">
      <c r="B144" s="12">
        <v>11</v>
      </c>
      <c r="C144" t="s">
        <v>39</v>
      </c>
      <c r="G144" s="10">
        <f>(1-G$170)+G$170*EXP($AM144/MIN(G$84,$AC144))</f>
        <v>1</v>
      </c>
      <c r="H144" s="10">
        <f>(1-H$170)+H$170*EXP($AM144/MIN(H$84,$AC144))</f>
        <v>1</v>
      </c>
      <c r="I144" s="4"/>
      <c r="O144" s="14"/>
      <c r="AC144">
        <v>17</v>
      </c>
      <c r="AM144">
        <v>0.13100000000000001</v>
      </c>
    </row>
    <row r="145" spans="2:40" x14ac:dyDescent="0.25">
      <c r="B145" s="53" t="s">
        <v>61</v>
      </c>
      <c r="C145" s="2"/>
      <c r="D145" s="2"/>
      <c r="E145" s="2"/>
      <c r="F145" s="2"/>
      <c r="G145" s="2"/>
      <c r="H145" s="2"/>
      <c r="I145" s="1"/>
      <c r="J145" s="2"/>
      <c r="K145" s="2"/>
      <c r="L145" s="2"/>
      <c r="M145" s="2"/>
      <c r="N145" s="2"/>
      <c r="O145" s="13"/>
    </row>
    <row r="146" spans="2:40" x14ac:dyDescent="0.25">
      <c r="B146" s="12">
        <v>1</v>
      </c>
      <c r="C146" t="s">
        <v>29</v>
      </c>
      <c r="G146" s="10">
        <f>1+$AM146*(5730/G$67)^2*G$168</f>
        <v>1.0000205538064741</v>
      </c>
      <c r="H146" s="10">
        <f>1+$AM146*(5730/H$67)^2*H$168</f>
        <v>1.0000205538064741</v>
      </c>
      <c r="I146" s="4"/>
      <c r="O146" s="14"/>
      <c r="AM146">
        <v>6.2600000000000003E-2</v>
      </c>
    </row>
    <row r="147" spans="2:40" x14ac:dyDescent="0.25">
      <c r="B147" s="12">
        <v>2</v>
      </c>
      <c r="C147" t="s">
        <v>30</v>
      </c>
      <c r="G147" s="10">
        <f>IF(G$70&lt;13,EXP($AM147*(G$70-$AL147)),AN147)</f>
        <v>1</v>
      </c>
      <c r="H147" s="10">
        <f>IF(H$70&lt;13,EXP($AM147*(H$70-$AL147)),AO147)</f>
        <v>1</v>
      </c>
      <c r="I147" s="4"/>
      <c r="O147" s="14"/>
      <c r="AL147">
        <v>12</v>
      </c>
      <c r="AM147">
        <v>-3.7600000000000001E-2</v>
      </c>
      <c r="AN147">
        <v>0.96299999999999997</v>
      </c>
    </row>
    <row r="148" spans="2:40" x14ac:dyDescent="0.25">
      <c r="B148" s="12">
        <v>3</v>
      </c>
      <c r="C148" t="s">
        <v>31</v>
      </c>
      <c r="G148" s="10">
        <f>EXP($AM148*(G$72-$AL148))</f>
        <v>0.96986344087364429</v>
      </c>
      <c r="H148" s="10">
        <f>EXP($AM148*(H$72-$AL148))</f>
        <v>0.96986344087364429</v>
      </c>
      <c r="I148" s="4"/>
      <c r="O148" s="14"/>
      <c r="AL148">
        <v>6</v>
      </c>
      <c r="AM148">
        <v>-1.5299999999999999E-2</v>
      </c>
    </row>
    <row r="149" spans="2:40" x14ac:dyDescent="0.25">
      <c r="B149" s="12">
        <v>4</v>
      </c>
      <c r="C149" t="s">
        <v>32</v>
      </c>
      <c r="G149" s="10">
        <f>(1-G$169)*EXP($AM149*(MIN(G$73,$AC150)-2*G$72-$AL149))+G$169*EXP($AM149*(2*N$168-$AL149))</f>
        <v>1.1096448398214713</v>
      </c>
      <c r="H149" s="10">
        <f>(1-H$169)*EXP($AM149*(MIN(H$73,$AC150)-2*H$72-$AL149))+H$169*EXP($AM149*(2*O$168-$AL149))</f>
        <v>1.1096448398214713</v>
      </c>
      <c r="I149" s="4"/>
      <c r="O149" s="14"/>
      <c r="AL149">
        <v>48</v>
      </c>
      <c r="AM149">
        <v>-2.8900000000000002E-3</v>
      </c>
    </row>
    <row r="150" spans="2:40" x14ac:dyDescent="0.25">
      <c r="B150" s="12">
        <v>5</v>
      </c>
      <c r="C150" t="s">
        <v>33</v>
      </c>
      <c r="G150" s="10">
        <f>(1-G$169)+G$169*EXP($AM150/N$168)</f>
        <v>1.0285670979862289</v>
      </c>
      <c r="H150" s="10">
        <f>(1-H$169)+H$169*EXP($AM150/O$168)</f>
        <v>1.0285670979862289</v>
      </c>
      <c r="I150" s="4"/>
      <c r="O150" s="14"/>
      <c r="AC150">
        <v>90</v>
      </c>
      <c r="AM150">
        <v>0.16900000000000001</v>
      </c>
    </row>
    <row r="151" spans="2:40" x14ac:dyDescent="0.25">
      <c r="B151" s="12">
        <v>6</v>
      </c>
      <c r="C151" t="s">
        <v>34</v>
      </c>
      <c r="G151" s="10">
        <f>EXP($AM151*G$171)</f>
        <v>0.60962577114680216</v>
      </c>
      <c r="H151" s="10">
        <f>EXP($AM151*H$171)</f>
        <v>0.60962577114680216</v>
      </c>
      <c r="I151" s="4"/>
      <c r="O151" s="14"/>
      <c r="AM151">
        <v>-0.61099999999999999</v>
      </c>
    </row>
    <row r="152" spans="2:40" x14ac:dyDescent="0.25">
      <c r="B152" s="12">
        <v>8</v>
      </c>
      <c r="C152" t="s">
        <v>36</v>
      </c>
      <c r="G152" s="10">
        <f>(1-G$168)*EXP($AM152*(G$71-$AL152))+G$168*EXP($AN152*(G$71-$AL152))</f>
        <v>1</v>
      </c>
      <c r="H152" s="10">
        <f>(1-H$168)*EXP($AM152*(H$71-$AL152))+H$168*EXP($AN152*(H$71-$AL152))</f>
        <v>1</v>
      </c>
      <c r="I152" s="4"/>
      <c r="O152" s="14"/>
      <c r="AL152">
        <v>10</v>
      </c>
      <c r="AM152">
        <v>0</v>
      </c>
      <c r="AN152">
        <v>-8.4000000000000005E-2</v>
      </c>
    </row>
    <row r="153" spans="2:40" x14ac:dyDescent="0.25">
      <c r="B153" s="54">
        <v>11</v>
      </c>
      <c r="C153" s="7" t="s">
        <v>39</v>
      </c>
      <c r="D153" s="7"/>
      <c r="E153" s="7"/>
      <c r="F153" s="7"/>
      <c r="G153" s="11">
        <f>(1-G$170)+G$170*EXP($AM153/MIN(G$84,$AC153))</f>
        <v>1</v>
      </c>
      <c r="H153" s="11">
        <f>(1-H$170)+H$170*EXP($AM153/MIN(H$84,$AC153))</f>
        <v>1</v>
      </c>
      <c r="I153" s="6"/>
      <c r="J153" s="7"/>
      <c r="K153" s="7"/>
      <c r="L153" s="7"/>
      <c r="M153" s="7"/>
      <c r="N153" s="7"/>
      <c r="O153" s="31"/>
      <c r="AC153">
        <v>17</v>
      </c>
      <c r="AM153">
        <v>0.16900000000000001</v>
      </c>
    </row>
    <row r="154" spans="2:40" x14ac:dyDescent="0.25">
      <c r="B154" s="52" t="s">
        <v>63</v>
      </c>
      <c r="I154" s="4"/>
      <c r="O154" s="14"/>
    </row>
    <row r="155" spans="2:40" x14ac:dyDescent="0.25">
      <c r="B155" s="12">
        <v>46</v>
      </c>
      <c r="C155" t="s">
        <v>133</v>
      </c>
      <c r="D155" t="s">
        <v>31</v>
      </c>
      <c r="G155" s="10">
        <f>EXP($AM155*(G$72-$AL155))</f>
        <v>0.92844883937837053</v>
      </c>
      <c r="H155" s="10">
        <f>EXP($AM155*(H$72-$AL155))</f>
        <v>0.92844883937837053</v>
      </c>
      <c r="I155" s="4"/>
      <c r="O155" s="14"/>
      <c r="AL155">
        <v>4</v>
      </c>
      <c r="AM155">
        <v>-1.856E-2</v>
      </c>
    </row>
    <row r="156" spans="2:40" x14ac:dyDescent="0.25">
      <c r="B156" s="12">
        <v>49</v>
      </c>
      <c r="C156" t="s">
        <v>133</v>
      </c>
      <c r="D156" t="s">
        <v>126</v>
      </c>
      <c r="G156" s="10">
        <f>EXP($AM156*G$57/G$27)</f>
        <v>1</v>
      </c>
      <c r="H156" s="10">
        <f>EXP($AM156*H$57/H$27)</f>
        <v>1</v>
      </c>
      <c r="I156" s="4"/>
      <c r="O156" s="14"/>
      <c r="AM156">
        <v>4.1730000000000003E-2</v>
      </c>
    </row>
    <row r="157" spans="2:40" x14ac:dyDescent="0.25">
      <c r="B157" s="12">
        <v>52</v>
      </c>
      <c r="C157" t="s">
        <v>134</v>
      </c>
      <c r="D157" t="s">
        <v>10</v>
      </c>
      <c r="G157" s="10">
        <f>EXP($AM157*IF(G$24&gt;1,1,0))</f>
        <v>1</v>
      </c>
      <c r="H157" s="10">
        <f>EXP($AM157*IF(H$24&gt;1,1,0))</f>
        <v>1</v>
      </c>
      <c r="I157" s="4"/>
      <c r="O157" s="14"/>
      <c r="AM157">
        <v>0.2782</v>
      </c>
    </row>
    <row r="158" spans="2:40" ht="13.8" thickBot="1" x14ac:dyDescent="0.3">
      <c r="B158" s="15">
        <v>55</v>
      </c>
      <c r="C158" s="17" t="s">
        <v>134</v>
      </c>
      <c r="D158" s="17" t="s">
        <v>126</v>
      </c>
      <c r="E158" s="17"/>
      <c r="F158" s="17"/>
      <c r="G158" s="23">
        <f>EXP($AM158*G$57/G$27)</f>
        <v>1</v>
      </c>
      <c r="H158" s="23">
        <f>EXP($AM158*H$57/H$27)</f>
        <v>1</v>
      </c>
      <c r="I158" s="16"/>
      <c r="J158" s="17"/>
      <c r="K158" s="17"/>
      <c r="L158" s="17"/>
      <c r="M158" s="17"/>
      <c r="N158" s="17"/>
      <c r="O158" s="19"/>
      <c r="AM158">
        <v>5.0299999999999997E-2</v>
      </c>
    </row>
    <row r="159" spans="2:40" ht="13.8" thickBot="1" x14ac:dyDescent="0.3"/>
    <row r="160" spans="2:40" x14ac:dyDescent="0.25">
      <c r="B160" s="46" t="s">
        <v>142</v>
      </c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8"/>
    </row>
    <row r="161" spans="2:45" x14ac:dyDescent="0.25">
      <c r="B161" s="12"/>
      <c r="C161" s="2"/>
      <c r="D161" s="2"/>
      <c r="F161" s="123" t="s">
        <v>170</v>
      </c>
      <c r="I161" s="1"/>
      <c r="J161" s="34" t="s">
        <v>169</v>
      </c>
      <c r="M161" s="34" t="s">
        <v>124</v>
      </c>
      <c r="O161" s="14"/>
    </row>
    <row r="162" spans="2:45" ht="15.6" x14ac:dyDescent="0.35">
      <c r="B162" s="12"/>
      <c r="F162" s="8" t="s">
        <v>305</v>
      </c>
      <c r="G162" s="121">
        <f>(G$10+G$13)*K162</f>
        <v>0.56009398197256544</v>
      </c>
      <c r="H162" s="121">
        <f t="shared" ref="H162:H165" si="29">(H$10+H$13)*L162</f>
        <v>0.44666994172498864</v>
      </c>
      <c r="I162" s="4"/>
      <c r="J162" s="8" t="s">
        <v>69</v>
      </c>
      <c r="K162" s="20">
        <f t="shared" ref="K162:L164" si="30">EXP(N162)/((1/N$165)+EXP(N$162)+EXP(N$163)+EXP(N$164))</f>
        <v>2.1509923601155473E-2</v>
      </c>
      <c r="L162" s="10">
        <f t="shared" si="30"/>
        <v>2.1509923601155473E-2</v>
      </c>
      <c r="M162" s="8" t="s">
        <v>229</v>
      </c>
      <c r="N162" s="10">
        <f t="shared" ref="N162:O164" si="31">$AM162+$AN162*(G$169+G$170)/2+$AO162*G$171+$AP162*(G$78+G$79)/2+$AQ162*G$168+$AR162*G$70+$AS162*IF(G$21="Rural",1,0)</f>
        <v>-3.8376400000000004</v>
      </c>
      <c r="O162" s="21">
        <f t="shared" si="31"/>
        <v>-3.8376400000000004</v>
      </c>
      <c r="AM162">
        <v>-0.17100000000000001</v>
      </c>
      <c r="AN162">
        <v>-0.38800000000000001</v>
      </c>
      <c r="AO162">
        <v>-0.92400000000000004</v>
      </c>
      <c r="AP162">
        <v>0.38700000000000001</v>
      </c>
      <c r="AQ162">
        <v>0.20799999999999999</v>
      </c>
      <c r="AR162">
        <v>-0.26100000000000001</v>
      </c>
      <c r="AS162">
        <v>0.49199999999999999</v>
      </c>
    </row>
    <row r="163" spans="2:45" ht="15.6" x14ac:dyDescent="0.35">
      <c r="B163" s="12"/>
      <c r="F163" s="8" t="s">
        <v>306</v>
      </c>
      <c r="G163" s="121">
        <f t="shared" ref="G163:G165" si="32">(G$10+G$13)*K163</f>
        <v>1.5324370565964991</v>
      </c>
      <c r="H163" s="121">
        <f t="shared" si="29"/>
        <v>1.2221048481122572</v>
      </c>
      <c r="I163" s="4"/>
      <c r="J163" s="8" t="s">
        <v>70</v>
      </c>
      <c r="K163" s="10">
        <f t="shared" si="30"/>
        <v>5.8851916056803552E-2</v>
      </c>
      <c r="L163" s="10">
        <f t="shared" si="30"/>
        <v>5.8851916056803552E-2</v>
      </c>
      <c r="M163" s="8" t="s">
        <v>230</v>
      </c>
      <c r="N163" s="10">
        <f t="shared" si="31"/>
        <v>-2.8311299999999999</v>
      </c>
      <c r="O163" s="21">
        <f t="shared" si="31"/>
        <v>-2.8311299999999999</v>
      </c>
      <c r="AM163">
        <v>-2.3929999999999998</v>
      </c>
      <c r="AN163">
        <v>-0.32500000000000001</v>
      </c>
      <c r="AO163">
        <v>-0.85299999999999998</v>
      </c>
      <c r="AP163">
        <v>0.39100000000000001</v>
      </c>
      <c r="AQ163">
        <v>0.24299999999999999</v>
      </c>
      <c r="AR163">
        <v>0</v>
      </c>
      <c r="AS163">
        <v>0.43</v>
      </c>
    </row>
    <row r="164" spans="2:45" ht="15.6" x14ac:dyDescent="0.35">
      <c r="B164" s="12"/>
      <c r="F164" s="8" t="s">
        <v>307</v>
      </c>
      <c r="G164" s="121">
        <f t="shared" si="32"/>
        <v>8.0943745112723491</v>
      </c>
      <c r="H164" s="121">
        <f t="shared" si="29"/>
        <v>6.4551912850714208</v>
      </c>
      <c r="I164" s="4"/>
      <c r="J164" s="8" t="s">
        <v>71</v>
      </c>
      <c r="K164" s="10">
        <f t="shared" si="30"/>
        <v>0.3108574327533779</v>
      </c>
      <c r="L164" s="10">
        <f t="shared" si="30"/>
        <v>0.3108574327533779</v>
      </c>
      <c r="M164" s="8" t="s">
        <v>231</v>
      </c>
      <c r="N164" s="10">
        <f t="shared" si="31"/>
        <v>-1.16682</v>
      </c>
      <c r="O164" s="21">
        <f t="shared" si="31"/>
        <v>-1.16682</v>
      </c>
      <c r="AM164">
        <v>7.3200000000000001E-2</v>
      </c>
      <c r="AN164">
        <v>-0.25</v>
      </c>
      <c r="AO164">
        <v>-0.872</v>
      </c>
      <c r="AP164">
        <v>0.13500000000000001</v>
      </c>
      <c r="AQ164">
        <v>0.13100000000000001</v>
      </c>
      <c r="AR164">
        <v>-4.6399999999999997E-2</v>
      </c>
      <c r="AS164">
        <v>0.20799999999999999</v>
      </c>
    </row>
    <row r="165" spans="2:45" ht="16.2" thickBot="1" x14ac:dyDescent="0.4">
      <c r="B165" s="15"/>
      <c r="C165" s="17"/>
      <c r="D165" s="17"/>
      <c r="E165" s="17"/>
      <c r="F165" s="22" t="s">
        <v>308</v>
      </c>
      <c r="G165" s="122">
        <f t="shared" si="32"/>
        <v>15.851958760326488</v>
      </c>
      <c r="H165" s="122">
        <f t="shared" si="29"/>
        <v>12.641795347925695</v>
      </c>
      <c r="I165" s="16"/>
      <c r="J165" s="22" t="s">
        <v>46</v>
      </c>
      <c r="K165" s="23">
        <f>1-K162-K163-K164</f>
        <v>0.6087807275886632</v>
      </c>
      <c r="L165" s="23">
        <f>1-L162-L163-L164</f>
        <v>0.6087807275886632</v>
      </c>
      <c r="M165" s="22" t="s">
        <v>232</v>
      </c>
      <c r="N165" s="17">
        <f>VLOOKUP($N99&amp;","&amp;$G$21&amp;","&amp;$G$23,$BB$19:$BH$51,MATCH(M165,$BB$19:$BH$19,0),FALSE)</f>
        <v>1.64</v>
      </c>
      <c r="O165" s="19">
        <f>VLOOKUP($N99&amp;","&amp;$G$21&amp;","&amp;$G$23,$BB$19:$BH$51,MATCH(M165,$BB$19:$BH$19,0),FALSE)</f>
        <v>1.64</v>
      </c>
    </row>
    <row r="166" spans="2:45" ht="13.8" thickBot="1" x14ac:dyDescent="0.3"/>
    <row r="167" spans="2:45" x14ac:dyDescent="0.25">
      <c r="B167" s="46" t="s">
        <v>77</v>
      </c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8"/>
    </row>
    <row r="168" spans="2:45" ht="15.6" x14ac:dyDescent="0.35">
      <c r="B168" s="55" t="s">
        <v>233</v>
      </c>
      <c r="C168" s="2" t="s">
        <v>78</v>
      </c>
      <c r="D168" s="2"/>
      <c r="E168" s="2"/>
      <c r="F168" s="2"/>
      <c r="G168" s="2">
        <f>G$66/G$27</f>
        <v>0.1</v>
      </c>
      <c r="H168" s="3">
        <f>H$66/H$27</f>
        <v>0.1</v>
      </c>
      <c r="I168" s="1" t="s">
        <v>217</v>
      </c>
      <c r="J168" s="2" t="s">
        <v>27</v>
      </c>
      <c r="K168" s="2"/>
      <c r="L168" s="2"/>
      <c r="M168" s="2"/>
      <c r="N168" s="26">
        <f>IF(OR(G$74="No",G$169&lt;1),G$76,MIN((G$73-2*G$72-G$77)/2,$AC168))</f>
        <v>6</v>
      </c>
      <c r="O168" s="56">
        <f>IF(OR(H$74="No",H$169&lt;1),H$76,MIN((H$73-2*H$72-H$77)/2,$AC168))</f>
        <v>6</v>
      </c>
      <c r="AC168">
        <v>17</v>
      </c>
    </row>
    <row r="169" spans="2:45" ht="15.6" x14ac:dyDescent="0.35">
      <c r="B169" s="12" t="s">
        <v>234</v>
      </c>
      <c r="C169" t="s">
        <v>79</v>
      </c>
      <c r="G169">
        <f>MIN(1,IF(G$74="Yes",1,G$75/(2*G$27)))</f>
        <v>1</v>
      </c>
      <c r="H169" s="5">
        <f>MIN(1,IF(H$74="Yes",1,H$75/(2*H$27)))</f>
        <v>1</v>
      </c>
      <c r="I169" s="4" t="s">
        <v>201</v>
      </c>
      <c r="J169" t="s">
        <v>150</v>
      </c>
      <c r="N169">
        <f>IF(ISNUMBER(G38),G38,VLOOKUP(G$61,$BE$74:$BH$91,MATCH(G$21&amp;","&amp;G37,$BE$74:$BH$74,0),TRUE))</f>
        <v>8900</v>
      </c>
      <c r="O169" s="14">
        <f>IF(ISNUMBER(H38),H38,VLOOKUP(H$61,$BE$74:$BH$91,MATCH(H$21&amp;","&amp;H37,$BE$74:$BH$74,0),TRUE))</f>
        <v>8900</v>
      </c>
    </row>
    <row r="170" spans="2:45" ht="15.6" x14ac:dyDescent="0.35">
      <c r="B170" s="12" t="s">
        <v>235</v>
      </c>
      <c r="C170" t="s">
        <v>91</v>
      </c>
      <c r="G170" s="9">
        <f>G$83/(2*G$27)</f>
        <v>0</v>
      </c>
      <c r="H170" s="25">
        <f>H$83/(2*H$27)</f>
        <v>0</v>
      </c>
      <c r="I170" s="4" t="s">
        <v>204</v>
      </c>
      <c r="J170" t="s">
        <v>151</v>
      </c>
      <c r="N170">
        <f>IF(ISNUMBER(G42),G42,VLOOKUP(G$61,$BE$74:$BH$91,MATCH(G$21&amp;","&amp;G41,$BE$74:$BH$74,0),TRUE))</f>
        <v>8900</v>
      </c>
      <c r="O170" s="14">
        <f>IF(ISNUMBER(H42),H42,VLOOKUP(H$61,$BE$74:$BH$91,MATCH(H$21&amp;","&amp;H41,$BE$74:$BH$74,0),TRUE))</f>
        <v>8900</v>
      </c>
    </row>
    <row r="171" spans="2:45" ht="15.6" x14ac:dyDescent="0.35">
      <c r="B171" s="12" t="s">
        <v>236</v>
      </c>
      <c r="C171" t="s">
        <v>24</v>
      </c>
      <c r="G171">
        <f>IF(ISNUMBER(G$62),G$62,VLOOKUP(G$61,$AX$74:$BC$92,MATCH(G$23,$AX$74:$BC$74,0),TRUE))</f>
        <v>0.81</v>
      </c>
      <c r="H171" s="5">
        <f>IF(ISNUMBER(H$62),H$62,VLOOKUP(H$61,$AX$74:$BC$92,MATCH(H$23,$AX$74:$BC$74,0),TRUE))</f>
        <v>0.81</v>
      </c>
      <c r="I171" s="4" t="s">
        <v>207</v>
      </c>
      <c r="J171" t="s">
        <v>152</v>
      </c>
      <c r="N171">
        <f>IF(ISNUMBER(G46),G46,VLOOKUP(G$61,$BE$74:$BH$91,MATCH(G$21&amp;","&amp;G45,$BE$74:$BH$74,0),TRUE))</f>
        <v>8900</v>
      </c>
      <c r="O171" s="14">
        <f>IF(ISNUMBER(H46),H46,VLOOKUP(H$61,$BE$74:$BH$91,MATCH(H$21&amp;","&amp;H45,$BE$74:$BH$74,0),TRUE))</f>
        <v>8900</v>
      </c>
    </row>
    <row r="172" spans="2:45" ht="15.6" x14ac:dyDescent="0.35">
      <c r="B172" s="12" t="s">
        <v>237</v>
      </c>
      <c r="C172" t="s">
        <v>101</v>
      </c>
      <c r="G172">
        <f>G31/G$27</f>
        <v>0.1</v>
      </c>
      <c r="H172" s="5">
        <f>H31/H$27</f>
        <v>0.1</v>
      </c>
      <c r="I172" s="4" t="s">
        <v>210</v>
      </c>
      <c r="J172" t="s">
        <v>153</v>
      </c>
      <c r="N172">
        <f>IF(ISNUMBER(G50),G50,VLOOKUP(G$61,$BE$74:$BH$91,MATCH(G$21&amp;","&amp;G49,$BE$74:$BH$74,0),TRUE))</f>
        <v>8900</v>
      </c>
      <c r="O172" s="14">
        <f>IF(ISNUMBER(H50),H50,VLOOKUP(H$61,$BE$74:$BH$91,MATCH(H$21&amp;","&amp;H49,$BE$74:$BH$74,0),TRUE))</f>
        <v>8900</v>
      </c>
    </row>
    <row r="173" spans="2:45" ht="16.2" thickBot="1" x14ac:dyDescent="0.4">
      <c r="B173" s="15" t="s">
        <v>238</v>
      </c>
      <c r="C173" s="17" t="s">
        <v>100</v>
      </c>
      <c r="D173" s="17"/>
      <c r="E173" s="17"/>
      <c r="F173" s="17"/>
      <c r="G173" s="17">
        <f>G32/G$27</f>
        <v>0.1</v>
      </c>
      <c r="H173" s="18">
        <f>H32/H$27</f>
        <v>0.1</v>
      </c>
      <c r="I173" s="16" t="s">
        <v>239</v>
      </c>
      <c r="J173" s="17" t="s">
        <v>154</v>
      </c>
      <c r="K173" s="17"/>
      <c r="L173" s="17"/>
      <c r="M173" s="17"/>
      <c r="N173" s="17">
        <f>VLOOKUP(G$61,$BE$74:$BH$91,MATCH(G$21&amp;","&amp;G54,$BE$74:$BH$74,0),TRUE)</f>
        <v>21200</v>
      </c>
      <c r="O173" s="19">
        <f>VLOOKUP(H$61,$BE$74:$BH$91,MATCH(H$21&amp;","&amp;H54,$BE$74:$BH$74,0),TRUE)</f>
        <v>21200</v>
      </c>
    </row>
  </sheetData>
  <sheetProtection algorithmName="SHA-512" hashValue="t9K/5O36ARQSmpmM/SwedukRCuv3db0qGND1khVFMNdwKI5dVehT4dmA5J81ja7N1uF1dJN5dvZ2/pNVznRlPg==" saltValue="a5rmQTzNPFqjj6B+UZtAtg==" spinCount="100000" sheet="1" objects="1" scenarios="1"/>
  <conditionalFormatting sqref="G88:G93">
    <cfRule type="expression" dxfId="34" priority="51">
      <formula>$AE88=0</formula>
    </cfRule>
    <cfRule type="expression" dxfId="33" priority="52">
      <formula>$AE88=1</formula>
    </cfRule>
  </conditionalFormatting>
  <conditionalFormatting sqref="G25:H26">
    <cfRule type="expression" dxfId="32" priority="3">
      <formula>AE25=0</formula>
    </cfRule>
    <cfRule type="expression" dxfId="31" priority="4">
      <formula>AE25=1</formula>
    </cfRule>
  </conditionalFormatting>
  <conditionalFormatting sqref="G36:H37">
    <cfRule type="expression" dxfId="30" priority="38">
      <formula>AE36=1</formula>
    </cfRule>
  </conditionalFormatting>
  <conditionalFormatting sqref="G36:H38">
    <cfRule type="expression" dxfId="29" priority="27">
      <formula>AE36=0</formula>
    </cfRule>
  </conditionalFormatting>
  <conditionalFormatting sqref="G38:H38">
    <cfRule type="expression" dxfId="28" priority="28">
      <formula>AE38=1</formula>
    </cfRule>
  </conditionalFormatting>
  <conditionalFormatting sqref="G40:H41">
    <cfRule type="expression" dxfId="27" priority="36">
      <formula>AE40=1</formula>
    </cfRule>
  </conditionalFormatting>
  <conditionalFormatting sqref="G40:H42">
    <cfRule type="expression" dxfId="26" priority="25">
      <formula>AE40=0</formula>
    </cfRule>
  </conditionalFormatting>
  <conditionalFormatting sqref="G42:H42">
    <cfRule type="expression" dxfId="25" priority="26">
      <formula>AE42=1</formula>
    </cfRule>
  </conditionalFormatting>
  <conditionalFormatting sqref="G44:H45">
    <cfRule type="expression" dxfId="24" priority="34">
      <formula>AE44=1</formula>
    </cfRule>
  </conditionalFormatting>
  <conditionalFormatting sqref="G44:H46">
    <cfRule type="expression" dxfId="23" priority="23">
      <formula>AE44=0</formula>
    </cfRule>
  </conditionalFormatting>
  <conditionalFormatting sqref="G46:H46">
    <cfRule type="expression" dxfId="22" priority="24">
      <formula>AE46=1</formula>
    </cfRule>
  </conditionalFormatting>
  <conditionalFormatting sqref="G48:H49">
    <cfRule type="expression" dxfId="21" priority="32">
      <formula>AE48=1</formula>
    </cfRule>
  </conditionalFormatting>
  <conditionalFormatting sqref="G48:H50">
    <cfRule type="expression" dxfId="20" priority="21">
      <formula>AE48=0</formula>
    </cfRule>
  </conditionalFormatting>
  <conditionalFormatting sqref="G50:H50">
    <cfRule type="expression" dxfId="19" priority="22">
      <formula>AE50=1</formula>
    </cfRule>
  </conditionalFormatting>
  <conditionalFormatting sqref="G53:H54">
    <cfRule type="expression" dxfId="18" priority="6">
      <formula>AE53=1</formula>
    </cfRule>
  </conditionalFormatting>
  <conditionalFormatting sqref="G53:H55">
    <cfRule type="expression" dxfId="17" priority="5">
      <formula>AE53=0</formula>
    </cfRule>
  </conditionalFormatting>
  <conditionalFormatting sqref="G55:H55">
    <cfRule type="expression" dxfId="16" priority="18">
      <formula>AE55=1</formula>
    </cfRule>
  </conditionalFormatting>
  <conditionalFormatting sqref="G57:H58">
    <cfRule type="expression" dxfId="15" priority="15">
      <formula>AE57=0</formula>
    </cfRule>
    <cfRule type="expression" dxfId="14" priority="16">
      <formula>AE57=1</formula>
    </cfRule>
  </conditionalFormatting>
  <conditionalFormatting sqref="G61:H61">
    <cfRule type="expression" dxfId="13" priority="12">
      <formula>AE61=1</formula>
    </cfRule>
  </conditionalFormatting>
  <conditionalFormatting sqref="G61:H63">
    <cfRule type="expression" dxfId="12" priority="9">
      <formula>AE61=0</formula>
    </cfRule>
  </conditionalFormatting>
  <conditionalFormatting sqref="G62:H62">
    <cfRule type="expression" dxfId="11" priority="10">
      <formula>AE62=1</formula>
    </cfRule>
  </conditionalFormatting>
  <conditionalFormatting sqref="G63:H63">
    <cfRule type="expression" dxfId="10" priority="14">
      <formula>AE63=1</formula>
    </cfRule>
  </conditionalFormatting>
  <conditionalFormatting sqref="G67:H67">
    <cfRule type="expression" dxfId="9" priority="1">
      <formula>AE67=0</formula>
    </cfRule>
    <cfRule type="expression" dxfId="8" priority="2">
      <formula>AE67=1</formula>
    </cfRule>
  </conditionalFormatting>
  <dataValidations count="12">
    <dataValidation type="decimal" operator="greaterThanOrEqual" allowBlank="1" showInputMessage="1" showErrorMessage="1" error="Enter a value greater than or equal to zero." sqref="G87" xr:uid="{09A45B88-F151-45EB-9EF3-986E0E8D5228}">
      <formula1>0</formula1>
    </dataValidation>
    <dataValidation type="decimal" operator="greaterThan" allowBlank="1" showInputMessage="1" showErrorMessage="1" error="Enter a positive value greater than zero." sqref="G27:H27" xr:uid="{AF70F9FB-AA76-4D0D-B343-A1362BEB26FD}">
      <formula1>0</formula1>
    </dataValidation>
    <dataValidation type="whole" operator="greaterThanOrEqual" allowBlank="1" showInputMessage="1" showErrorMessage="1" error="Enter an integer greater than or equal to zero." sqref="G88:G93 G57:H58" xr:uid="{B86CB29F-FB89-414D-B07E-43480EFFB57B}">
      <formula1>0</formula1>
    </dataValidation>
    <dataValidation type="decimal" operator="greaterThanOrEqual" allowBlank="1" showInputMessage="1" showErrorMessage="1" error="Enter a positive value." sqref="G36:H36 G40:H40 G44:H44 G48:H48 G77:H77 G31:H34" xr:uid="{67720324-22A4-4D73-9C55-7A5B3847D1B7}">
      <formula1>0</formula1>
    </dataValidation>
    <dataValidation type="list" allowBlank="1" showInputMessage="1" showErrorMessage="1" error="Choose a value from the menu options." sqref="G23:H23" xr:uid="{256CD73A-B271-49E3-9189-5695325B26DD}">
      <formula1>$AL$23:$AQ$23</formula1>
    </dataValidation>
    <dataValidation type="list" allowBlank="1" showInputMessage="1" showErrorMessage="1" error="Choose a value from the menu options." sqref="G24:H24" xr:uid="{CF9FAEF6-D751-4ACA-BCA3-839A7304DDDA}">
      <formula1>$AL$24:$AR$24</formula1>
    </dataValidation>
    <dataValidation type="list" allowBlank="1" showInputMessage="1" showErrorMessage="1" error="Choose a value from the menu options." sqref="G74:H74 G21:H21 G53:H54 G49:H49 G45:H45 G41:H41 G37:H37" xr:uid="{3D797E9E-DC25-4A88-84B7-D7FC994D583F}">
      <formula1>$AG21:$AH21</formula1>
    </dataValidation>
    <dataValidation type="list" allowBlank="1" showInputMessage="1" showErrorMessage="1" error="Choose a value from the menu options." sqref="G25:H25" xr:uid="{54FDDAD7-16B4-4BD7-8369-EEC2E0E35E62}">
      <formula1>$AG$25:$AI$25</formula1>
    </dataValidation>
    <dataValidation type="list" allowBlank="1" showInputMessage="1" showErrorMessage="1" error="Choose a value from the menu options." sqref="G52:H52" xr:uid="{48805326-92D5-4378-9A7A-6F0515A064B5}">
      <formula1>$AG$52:$AI$52</formula1>
    </dataValidation>
    <dataValidation type="list" allowBlank="1" showInputMessage="1" showErrorMessage="1" error="Choose a value from the menu options." sqref="G35:H35 G47:H47 G43:H43 G39:H39" xr:uid="{0F500329-84AE-4AB5-9894-5EAC02AEA2AF}">
      <formula1>$AG$35:$AI$35</formula1>
    </dataValidation>
    <dataValidation type="list" allowBlank="1" showInputMessage="1" showErrorMessage="1" error="Choose a value from the menu options." sqref="G22:H22" xr:uid="{5CE5D78F-15CF-4882-B423-D5095EA61E62}">
      <formula1>$AU$20:$AU$45</formula1>
    </dataValidation>
    <dataValidation type="list" allowBlank="1" showInputMessage="1" showErrorMessage="1" error="Choose a value from the menu options." sqref="G26:H26" xr:uid="{FCFCBA8A-0208-4BC5-B00D-2B9F672B5E84}">
      <formula1>$AG$26:$AI$26</formula1>
    </dataValidation>
  </dataValidations>
  <hyperlinks>
    <hyperlink ref="J62" r:id="rId1" xr:uid="{249C6199-17E7-4B7D-A60F-D8B9FF08444C}"/>
  </hyperlinks>
  <pageMargins left="0.7" right="0.7" top="0.75" bottom="0.75" header="0.3" footer="0.3"/>
  <pageSetup orientation="portrait" r:id="rId2"/>
  <ignoredErrors>
    <ignoredError sqref="G157:H157 G101 AE90 G12" formula="1"/>
    <ignoredError sqref="C5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7CED-F100-4450-A752-D3523E91696E}">
  <sheetPr codeName="Sheet3"/>
  <dimension ref="B1:AX72"/>
  <sheetViews>
    <sheetView showGridLines="0" workbookViewId="0">
      <pane ySplit="13" topLeftCell="A14" activePane="bottomLeft" state="frozen"/>
      <selection pane="bottomLeft"/>
    </sheetView>
  </sheetViews>
  <sheetFormatPr defaultRowHeight="13.2" x14ac:dyDescent="0.25"/>
  <cols>
    <col min="1" max="1" width="2.5546875" customWidth="1"/>
    <col min="2" max="2" width="8.44140625" customWidth="1"/>
    <col min="3" max="3" width="19.33203125" customWidth="1"/>
    <col min="5" max="5" width="18.33203125" customWidth="1"/>
    <col min="6" max="6" width="9.77734375" bestFit="1" customWidth="1"/>
    <col min="7" max="7" width="16.109375" customWidth="1"/>
    <col min="8" max="8" width="17.33203125" bestFit="1" customWidth="1"/>
    <col min="9" max="9" width="8.44140625" bestFit="1" customWidth="1"/>
    <col min="10" max="10" width="9.44140625" customWidth="1"/>
    <col min="11" max="13" width="15.21875" bestFit="1" customWidth="1"/>
    <col min="14" max="14" width="16.109375" customWidth="1"/>
    <col min="15" max="15" width="17.33203125" customWidth="1"/>
    <col min="18" max="21" width="13.88671875" bestFit="1" customWidth="1"/>
    <col min="22" max="23" width="13.88671875" customWidth="1"/>
    <col min="26" max="26" width="11.5546875" bestFit="1" customWidth="1"/>
    <col min="27" max="27" width="12.6640625" bestFit="1" customWidth="1"/>
    <col min="28" max="28" width="12.77734375" bestFit="1" customWidth="1"/>
    <col min="29" max="30" width="9.33203125" customWidth="1"/>
    <col min="31" max="31" width="12.44140625" bestFit="1" customWidth="1"/>
    <col min="40" max="41" width="11.5546875" bestFit="1" customWidth="1"/>
    <col min="43" max="43" width="9.88671875" bestFit="1" customWidth="1"/>
    <col min="44" max="45" width="14.33203125" customWidth="1"/>
    <col min="46" max="46" width="14.33203125" bestFit="1" customWidth="1"/>
    <col min="47" max="48" width="14.33203125" customWidth="1"/>
  </cols>
  <sheetData>
    <row r="1" spans="2:48" ht="13.8" thickBot="1" x14ac:dyDescent="0.3"/>
    <row r="2" spans="2:48" x14ac:dyDescent="0.25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2:48" x14ac:dyDescent="0.25">
      <c r="B3" s="29" t="s">
        <v>1</v>
      </c>
      <c r="C3" s="93" t="s">
        <v>162</v>
      </c>
      <c r="D3" s="94"/>
      <c r="E3" s="8" t="s">
        <v>4</v>
      </c>
      <c r="F3" s="93"/>
      <c r="G3" s="98"/>
      <c r="H3" s="98"/>
      <c r="I3" s="42"/>
      <c r="J3" s="35"/>
      <c r="K3" s="35"/>
      <c r="L3" s="35"/>
      <c r="M3" s="41" t="s">
        <v>166</v>
      </c>
      <c r="N3" s="35"/>
      <c r="O3" s="36"/>
    </row>
    <row r="4" spans="2:48" x14ac:dyDescent="0.25">
      <c r="B4" s="29" t="s">
        <v>2</v>
      </c>
      <c r="C4" s="93" t="s">
        <v>163</v>
      </c>
      <c r="D4" s="94"/>
      <c r="E4" s="8" t="s">
        <v>5</v>
      </c>
      <c r="F4" s="93"/>
      <c r="G4" s="98"/>
      <c r="H4" s="98"/>
      <c r="I4" s="43"/>
      <c r="J4" s="27"/>
      <c r="K4" s="27"/>
      <c r="L4" s="27"/>
      <c r="M4" s="39" t="s">
        <v>254</v>
      </c>
      <c r="N4" s="27"/>
      <c r="O4" s="28"/>
    </row>
    <row r="5" spans="2:48" x14ac:dyDescent="0.25">
      <c r="B5" s="29" t="s">
        <v>3</v>
      </c>
      <c r="C5" s="95">
        <f ca="1">TODAY()</f>
        <v>45179</v>
      </c>
      <c r="D5" s="94"/>
      <c r="E5" s="8" t="s">
        <v>164</v>
      </c>
      <c r="F5" s="93" t="s">
        <v>165</v>
      </c>
      <c r="G5" s="98"/>
      <c r="H5" s="98"/>
      <c r="I5" s="43"/>
      <c r="J5" s="37"/>
      <c r="K5" s="37"/>
      <c r="L5" s="37"/>
      <c r="M5" s="40" t="s">
        <v>167</v>
      </c>
      <c r="N5" s="37"/>
      <c r="O5" s="38"/>
    </row>
    <row r="6" spans="2:48" ht="13.8" thickBot="1" x14ac:dyDescent="0.3">
      <c r="B6" s="30" t="s">
        <v>6</v>
      </c>
      <c r="C6" s="96"/>
      <c r="D6" s="97"/>
      <c r="E6" s="97"/>
      <c r="F6" s="97"/>
      <c r="G6" s="97"/>
      <c r="H6" s="97"/>
      <c r="I6" s="44"/>
      <c r="J6" s="79"/>
      <c r="K6" s="80"/>
      <c r="L6" s="80"/>
      <c r="M6" s="81" t="s">
        <v>168</v>
      </c>
      <c r="N6" s="80"/>
      <c r="O6" s="82"/>
    </row>
    <row r="7" spans="2:48" ht="13.8" thickBot="1" x14ac:dyDescent="0.3"/>
    <row r="8" spans="2:48" x14ac:dyDescent="0.25">
      <c r="B8" s="46" t="s">
        <v>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</row>
    <row r="9" spans="2:48" x14ac:dyDescent="0.25">
      <c r="B9" s="12"/>
      <c r="C9" s="34" t="s">
        <v>114</v>
      </c>
      <c r="G9" s="32" t="str">
        <f>IF(G38&gt;0,"Crash Period","Analysis Period")</f>
        <v>Crash Period</v>
      </c>
      <c r="H9" s="32" t="str">
        <f>IF(G38&gt;0,"Analysis Period","Alternate Scenario")</f>
        <v>Analysis Period</v>
      </c>
      <c r="I9" s="4"/>
      <c r="K9" s="34" t="s">
        <v>116</v>
      </c>
      <c r="N9" s="32" t="str">
        <f>G9</f>
        <v>Crash Period</v>
      </c>
      <c r="O9" s="33" t="str">
        <f>H9</f>
        <v>Analysis Period</v>
      </c>
    </row>
    <row r="10" spans="2:48" x14ac:dyDescent="0.25">
      <c r="B10" s="12"/>
      <c r="F10" s="8" t="s">
        <v>394</v>
      </c>
      <c r="G10" s="83">
        <f>G46*N10</f>
        <v>0.20459862965333298</v>
      </c>
      <c r="H10" s="83">
        <f>IF(G$38=0,H46*O10,O39)</f>
        <v>0.29909756156480116</v>
      </c>
      <c r="M10" s="8" t="s">
        <v>394</v>
      </c>
      <c r="N10" s="83">
        <f>PRODUCT(G51:G53)</f>
        <v>1</v>
      </c>
      <c r="O10" s="85">
        <f>PRODUCT(H51:H53)</f>
        <v>1</v>
      </c>
    </row>
    <row r="11" spans="2:48" x14ac:dyDescent="0.25">
      <c r="B11" s="12"/>
      <c r="F11" s="8" t="s">
        <v>395</v>
      </c>
      <c r="G11" s="83">
        <f>G47*N11</f>
        <v>3.0186091198386788E-2</v>
      </c>
      <c r="H11" s="83">
        <f>IF(G$38=0,H47*O11,O40)</f>
        <v>4.1925617545067309E-2</v>
      </c>
      <c r="M11" s="8" t="s">
        <v>395</v>
      </c>
      <c r="N11" s="83">
        <f>PRODUCT(G55:G58)</f>
        <v>1.1428212661351094</v>
      </c>
      <c r="O11" s="85">
        <f>PRODUCT(H55:H58)</f>
        <v>1.1428212661351094</v>
      </c>
      <c r="R11" t="s">
        <v>161</v>
      </c>
      <c r="X11" t="s">
        <v>174</v>
      </c>
      <c r="Z11" t="s">
        <v>193</v>
      </c>
      <c r="AE11" t="s">
        <v>42</v>
      </c>
    </row>
    <row r="12" spans="2:48" ht="13.8" thickBot="1" x14ac:dyDescent="0.3">
      <c r="B12" s="15"/>
      <c r="C12" s="17"/>
      <c r="D12" s="17"/>
      <c r="E12" s="17"/>
      <c r="F12" s="22" t="s">
        <v>123</v>
      </c>
      <c r="G12" s="84">
        <f>SUM(G10:G11)</f>
        <v>0.23478472085171975</v>
      </c>
      <c r="H12" s="84">
        <f>SUM(H10:H11)</f>
        <v>0.34102317910986846</v>
      </c>
      <c r="I12" s="16"/>
      <c r="J12" s="17"/>
      <c r="K12" s="17"/>
      <c r="L12" s="17"/>
      <c r="M12" s="22"/>
      <c r="N12" s="23"/>
      <c r="O12" s="24"/>
      <c r="R12" t="s">
        <v>182</v>
      </c>
      <c r="S12" t="s">
        <v>184</v>
      </c>
      <c r="T12" t="s">
        <v>183</v>
      </c>
      <c r="U12" t="s">
        <v>185</v>
      </c>
      <c r="AE12" t="s">
        <v>76</v>
      </c>
      <c r="AF12" s="57" t="s">
        <v>344</v>
      </c>
      <c r="AG12" s="57" t="s">
        <v>345</v>
      </c>
      <c r="AH12" s="57" t="s">
        <v>346</v>
      </c>
      <c r="AI12" s="57" t="s">
        <v>75</v>
      </c>
      <c r="AJ12" s="57" t="s">
        <v>47</v>
      </c>
      <c r="AK12" t="s">
        <v>315</v>
      </c>
    </row>
    <row r="13" spans="2:48" ht="13.8" thickBot="1" x14ac:dyDescent="0.3"/>
    <row r="14" spans="2:48" ht="13.8" thickBot="1" x14ac:dyDescent="0.3">
      <c r="B14" s="49" t="s">
        <v>8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1"/>
      <c r="AN14" s="1" t="s">
        <v>418</v>
      </c>
      <c r="AO14" s="3"/>
      <c r="AQ14" s="1" t="s">
        <v>321</v>
      </c>
      <c r="AR14" s="2"/>
      <c r="AS14" s="2"/>
      <c r="AT14" s="2"/>
      <c r="AU14" s="2"/>
      <c r="AV14" s="3"/>
    </row>
    <row r="15" spans="2:48" ht="16.2" thickBot="1" x14ac:dyDescent="0.4">
      <c r="AN15" s="6" t="s">
        <v>419</v>
      </c>
      <c r="AO15" s="77" t="s">
        <v>309</v>
      </c>
      <c r="AQ15" s="6" t="s">
        <v>54</v>
      </c>
      <c r="AR15" s="132" t="s">
        <v>322</v>
      </c>
      <c r="AS15" s="132" t="s">
        <v>323</v>
      </c>
      <c r="AT15" s="132" t="s">
        <v>324</v>
      </c>
      <c r="AU15" s="132" t="s">
        <v>240</v>
      </c>
      <c r="AV15" s="133" t="s">
        <v>47</v>
      </c>
    </row>
    <row r="16" spans="2:48" x14ac:dyDescent="0.25">
      <c r="B16" s="46" t="s">
        <v>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  <c r="AN16" s="1" t="s">
        <v>310</v>
      </c>
      <c r="AO16" s="3" t="s">
        <v>310</v>
      </c>
      <c r="AQ16" s="4" t="s">
        <v>55</v>
      </c>
      <c r="AR16" s="111">
        <v>-9.8030000000000008</v>
      </c>
      <c r="AS16" s="111">
        <v>1.1539999999999999</v>
      </c>
      <c r="AT16" s="111">
        <v>-0.80300000000000005</v>
      </c>
      <c r="AU16" s="111">
        <v>1</v>
      </c>
      <c r="AV16" s="134">
        <v>2.2989999999999999</v>
      </c>
    </row>
    <row r="17" spans="2:50" x14ac:dyDescent="0.25">
      <c r="B17" s="12" t="s">
        <v>98</v>
      </c>
      <c r="G17" s="99" t="s">
        <v>99</v>
      </c>
      <c r="H17" s="99" t="s">
        <v>99</v>
      </c>
      <c r="O17" s="14"/>
      <c r="Z17" t="s">
        <v>99</v>
      </c>
      <c r="AA17" t="s">
        <v>106</v>
      </c>
      <c r="AN17" s="4" t="s">
        <v>420</v>
      </c>
      <c r="AO17" s="5" t="s">
        <v>314</v>
      </c>
      <c r="AQ17" s="6" t="s">
        <v>56</v>
      </c>
      <c r="AR17" s="114">
        <v>-3.827</v>
      </c>
      <c r="AS17" s="114">
        <v>0.36399999999999999</v>
      </c>
      <c r="AT17" s="114">
        <v>-1.55</v>
      </c>
      <c r="AU17" s="114">
        <v>1</v>
      </c>
      <c r="AV17" s="135">
        <v>0.84899999999999998</v>
      </c>
    </row>
    <row r="18" spans="2:50" x14ac:dyDescent="0.25">
      <c r="B18" s="12" t="s">
        <v>445</v>
      </c>
      <c r="G18" s="99" t="s">
        <v>310</v>
      </c>
      <c r="H18" s="99" t="s">
        <v>310</v>
      </c>
      <c r="I18" s="65" t="str">
        <f>IF(OR(AND(G17=AA17,G18&lt;&gt;AN16),AND(H17=AA17,H18&lt;&gt;AN16)),"The calculations provided are based on region adjustment factors for rural freeways.","")</f>
        <v/>
      </c>
      <c r="O18" s="14"/>
      <c r="AN18" s="4" t="s">
        <v>421</v>
      </c>
      <c r="AO18" s="5" t="s">
        <v>314</v>
      </c>
    </row>
    <row r="19" spans="2:50" ht="13.8" thickBot="1" x14ac:dyDescent="0.3">
      <c r="B19" s="15" t="s">
        <v>325</v>
      </c>
      <c r="C19" s="17"/>
      <c r="D19" s="17"/>
      <c r="E19" s="17"/>
      <c r="F19" s="17"/>
      <c r="G19" s="101">
        <v>0.2</v>
      </c>
      <c r="H19" s="101">
        <v>0.2</v>
      </c>
      <c r="I19" s="17"/>
      <c r="J19" s="17"/>
      <c r="K19" s="17"/>
      <c r="L19" s="17"/>
      <c r="M19" s="17"/>
      <c r="N19" s="17"/>
      <c r="O19" s="19"/>
      <c r="AN19" s="4" t="s">
        <v>422</v>
      </c>
      <c r="AO19" s="5" t="s">
        <v>311</v>
      </c>
      <c r="AQ19" s="1" t="s">
        <v>317</v>
      </c>
      <c r="AR19" s="2"/>
      <c r="AS19" s="2"/>
      <c r="AT19" s="2"/>
      <c r="AU19" s="3"/>
    </row>
    <row r="20" spans="2:50" ht="16.2" thickBot="1" x14ac:dyDescent="0.4">
      <c r="AN20" s="4" t="s">
        <v>423</v>
      </c>
      <c r="AO20" s="5" t="s">
        <v>313</v>
      </c>
      <c r="AQ20" s="4"/>
      <c r="AR20" t="s">
        <v>318</v>
      </c>
      <c r="AU20" s="5"/>
    </row>
    <row r="21" spans="2:50" x14ac:dyDescent="0.25">
      <c r="B21" s="46" t="s">
        <v>16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8"/>
      <c r="AN21" s="4" t="s">
        <v>424</v>
      </c>
      <c r="AO21" s="5" t="s">
        <v>312</v>
      </c>
      <c r="AQ21" s="6" t="s">
        <v>54</v>
      </c>
      <c r="AR21" s="132" t="s">
        <v>312</v>
      </c>
      <c r="AS21" s="132" t="s">
        <v>311</v>
      </c>
      <c r="AT21" s="132" t="s">
        <v>313</v>
      </c>
      <c r="AU21" s="133" t="s">
        <v>314</v>
      </c>
    </row>
    <row r="22" spans="2:50" x14ac:dyDescent="0.25">
      <c r="B22" s="12" t="s">
        <v>355</v>
      </c>
      <c r="G22" s="103">
        <v>10000</v>
      </c>
      <c r="H22" s="103">
        <v>10000</v>
      </c>
      <c r="I22" s="65" t="s">
        <v>417</v>
      </c>
      <c r="O22" s="14"/>
      <c r="AN22" s="4" t="s">
        <v>425</v>
      </c>
      <c r="AO22" s="5" t="s">
        <v>311</v>
      </c>
      <c r="AQ22" s="1" t="s">
        <v>55</v>
      </c>
      <c r="AR22" s="126">
        <v>1.39</v>
      </c>
      <c r="AS22" s="126">
        <v>1.07</v>
      </c>
      <c r="AT22" s="126">
        <v>0.7</v>
      </c>
      <c r="AU22" s="127">
        <v>0.96</v>
      </c>
    </row>
    <row r="23" spans="2:50" x14ac:dyDescent="0.25">
      <c r="B23" s="12" t="s">
        <v>356</v>
      </c>
      <c r="G23" s="103" t="s">
        <v>348</v>
      </c>
      <c r="H23" s="103" t="s">
        <v>348</v>
      </c>
      <c r="O23" s="14"/>
      <c r="X23">
        <f>IF(ISBLANK(G22),1,0)</f>
        <v>0</v>
      </c>
      <c r="Y23">
        <f>IF(ISBLANK(H22),1,0)</f>
        <v>0</v>
      </c>
      <c r="Z23" t="s">
        <v>347</v>
      </c>
      <c r="AA23" t="s">
        <v>348</v>
      </c>
      <c r="AB23" t="s">
        <v>349</v>
      </c>
      <c r="AN23" s="4" t="s">
        <v>426</v>
      </c>
      <c r="AO23" s="5" t="s">
        <v>312</v>
      </c>
      <c r="AQ23" s="6" t="s">
        <v>56</v>
      </c>
      <c r="AR23" s="130">
        <v>1.39</v>
      </c>
      <c r="AS23" s="130">
        <v>1.07</v>
      </c>
      <c r="AT23" s="130">
        <v>0.7</v>
      </c>
      <c r="AU23" s="131">
        <v>0.96</v>
      </c>
    </row>
    <row r="24" spans="2:50" ht="13.8" thickBot="1" x14ac:dyDescent="0.3">
      <c r="B24" s="15" t="s">
        <v>147</v>
      </c>
      <c r="C24" s="17"/>
      <c r="D24" s="17"/>
      <c r="E24" s="17"/>
      <c r="F24" s="17"/>
      <c r="G24" s="136">
        <v>200000</v>
      </c>
      <c r="H24" s="136">
        <v>200000</v>
      </c>
      <c r="I24" s="137" t="str">
        <f>IF(OR(ISBLANK(G22),ISBLANK(H22)),"Ramp volume is estimated based on the general-purpose lane volume, area type, &amp; number of ramp lanes.","")</f>
        <v/>
      </c>
      <c r="J24" s="17"/>
      <c r="K24" s="17"/>
      <c r="L24" s="17"/>
      <c r="M24" s="17"/>
      <c r="N24" s="17"/>
      <c r="O24" s="19"/>
      <c r="X24">
        <f>IF(ISBLANK(G22),1,0)</f>
        <v>0</v>
      </c>
      <c r="Y24">
        <f>IF(ISBLANK(H22),1,0)</f>
        <v>0</v>
      </c>
      <c r="AN24" s="4" t="s">
        <v>427</v>
      </c>
      <c r="AO24" s="5" t="s">
        <v>314</v>
      </c>
    </row>
    <row r="25" spans="2:50" ht="13.8" thickBot="1" x14ac:dyDescent="0.3">
      <c r="AN25" s="4" t="s">
        <v>428</v>
      </c>
      <c r="AO25" s="5" t="s">
        <v>313</v>
      </c>
      <c r="AQ25" s="1" t="s">
        <v>90</v>
      </c>
      <c r="AR25" s="2"/>
      <c r="AS25" s="2"/>
      <c r="AT25" s="3"/>
      <c r="AV25" s="1" t="s">
        <v>390</v>
      </c>
      <c r="AW25" s="2"/>
      <c r="AX25" s="3"/>
    </row>
    <row r="26" spans="2:50" x14ac:dyDescent="0.25">
      <c r="B26" s="46" t="s">
        <v>17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  <c r="AN26" s="4" t="s">
        <v>429</v>
      </c>
      <c r="AO26" s="5" t="s">
        <v>311</v>
      </c>
      <c r="AQ26" s="4" t="s">
        <v>82</v>
      </c>
      <c r="AR26" t="s">
        <v>86</v>
      </c>
      <c r="AT26" s="5"/>
      <c r="AV26" s="4"/>
      <c r="AW26" t="s">
        <v>393</v>
      </c>
      <c r="AX26" s="5"/>
    </row>
    <row r="27" spans="2:50" ht="16.2" thickBot="1" x14ac:dyDescent="0.4">
      <c r="B27" s="15" t="s">
        <v>368</v>
      </c>
      <c r="C27" s="17"/>
      <c r="D27" s="17"/>
      <c r="E27" s="17"/>
      <c r="F27" s="17" t="s">
        <v>335</v>
      </c>
      <c r="G27" s="109">
        <v>0</v>
      </c>
      <c r="H27" s="109">
        <v>0</v>
      </c>
      <c r="I27" s="73"/>
      <c r="J27" s="17"/>
      <c r="K27" s="17"/>
      <c r="L27" s="17"/>
      <c r="M27" s="17"/>
      <c r="N27" s="17"/>
      <c r="O27" s="19"/>
      <c r="AN27" s="4" t="s">
        <v>430</v>
      </c>
      <c r="AO27" s="5" t="s">
        <v>314</v>
      </c>
      <c r="AQ27" s="6" t="s">
        <v>83</v>
      </c>
      <c r="AR27" s="132" t="s">
        <v>347</v>
      </c>
      <c r="AS27" s="132" t="s">
        <v>348</v>
      </c>
      <c r="AT27" s="133" t="s">
        <v>349</v>
      </c>
      <c r="AV27" s="6" t="s">
        <v>398</v>
      </c>
      <c r="AW27" s="7" t="s">
        <v>106</v>
      </c>
      <c r="AX27" s="77" t="s">
        <v>99</v>
      </c>
    </row>
    <row r="28" spans="2:50" ht="13.8" thickBot="1" x14ac:dyDescent="0.3">
      <c r="AN28" s="4" t="s">
        <v>431</v>
      </c>
      <c r="AO28" s="5" t="s">
        <v>311</v>
      </c>
      <c r="AQ28" s="4">
        <v>0</v>
      </c>
      <c r="AR28" s="111">
        <v>1600</v>
      </c>
      <c r="AS28" s="111">
        <v>3200</v>
      </c>
      <c r="AT28" s="113">
        <v>7700</v>
      </c>
      <c r="AV28" s="4" t="s">
        <v>69</v>
      </c>
      <c r="AW28" s="128">
        <v>4.0000000000000001E-3</v>
      </c>
      <c r="AX28" s="129">
        <v>2.9000000000000001E-2</v>
      </c>
    </row>
    <row r="29" spans="2:50" x14ac:dyDescent="0.25">
      <c r="B29" s="46" t="s">
        <v>20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  <c r="AN29" s="4" t="s">
        <v>432</v>
      </c>
      <c r="AO29" s="5" t="s">
        <v>312</v>
      </c>
      <c r="AQ29" s="4">
        <v>20000</v>
      </c>
      <c r="AR29" s="111">
        <v>1600</v>
      </c>
      <c r="AS29" s="111">
        <v>3200</v>
      </c>
      <c r="AT29" s="113">
        <v>7700</v>
      </c>
      <c r="AV29" s="4" t="s">
        <v>70</v>
      </c>
      <c r="AW29" s="128">
        <v>3.3000000000000002E-2</v>
      </c>
      <c r="AX29" s="129">
        <v>2.9000000000000001E-2</v>
      </c>
    </row>
    <row r="30" spans="2:50" ht="15.6" x14ac:dyDescent="0.35">
      <c r="B30" s="12" t="s">
        <v>327</v>
      </c>
      <c r="F30" t="s">
        <v>333</v>
      </c>
      <c r="G30" s="99">
        <v>6</v>
      </c>
      <c r="H30" s="99">
        <v>6</v>
      </c>
      <c r="I30" s="72" t="str">
        <f>IF(OR(G30&lt;R30,G30&gt;T30,H30&lt;S30,H30&gt;U30),"Right shoulder width must be 0 - "&amp;V30&amp;" ft (entrance ramp) or 0 - "&amp;W30&amp;" ft (exit ramp).","")</f>
        <v/>
      </c>
      <c r="O30" s="14"/>
      <c r="R30">
        <v>0</v>
      </c>
      <c r="S30">
        <v>0</v>
      </c>
      <c r="T30">
        <f>IF(G$17=$Z$17,$V30,$W30)</f>
        <v>17</v>
      </c>
      <c r="U30">
        <f>IF(H$17=$Z$17,$V30,$W30)</f>
        <v>17</v>
      </c>
      <c r="V30">
        <v>17</v>
      </c>
      <c r="W30">
        <v>13.3</v>
      </c>
      <c r="AE30">
        <v>5</v>
      </c>
      <c r="AF30">
        <v>-4.4999999999999998E-2</v>
      </c>
      <c r="AN30" s="4" t="s">
        <v>433</v>
      </c>
      <c r="AO30" s="5" t="s">
        <v>313</v>
      </c>
      <c r="AQ30" s="4">
        <v>40000</v>
      </c>
      <c r="AR30" s="111">
        <v>2200</v>
      </c>
      <c r="AS30" s="111">
        <v>4400</v>
      </c>
      <c r="AT30" s="113">
        <v>10500</v>
      </c>
      <c r="AV30" s="4" t="s">
        <v>71</v>
      </c>
      <c r="AW30" s="128">
        <v>0.107</v>
      </c>
      <c r="AX30" s="129">
        <v>0.2</v>
      </c>
    </row>
    <row r="31" spans="2:50" ht="16.2" thickBot="1" x14ac:dyDescent="0.4">
      <c r="B31" s="15" t="s">
        <v>328</v>
      </c>
      <c r="C31" s="17"/>
      <c r="D31" s="17"/>
      <c r="E31" s="17"/>
      <c r="F31" s="17" t="s">
        <v>334</v>
      </c>
      <c r="G31" s="109">
        <v>2</v>
      </c>
      <c r="H31" s="109">
        <v>2</v>
      </c>
      <c r="I31" s="73" t="str">
        <f>IF(OR(G31&lt;R31,G31&gt;T31,H31&lt;S31,H31&gt;U31),"Left shoulder width must be 0 - "&amp;V31&amp;" ft (entrance ramp) or 0 - "&amp;W31&amp;" ft (exit ramp).","")</f>
        <v/>
      </c>
      <c r="J31" s="17"/>
      <c r="K31" s="17"/>
      <c r="L31" s="17"/>
      <c r="M31" s="17"/>
      <c r="N31" s="17"/>
      <c r="O31" s="19"/>
      <c r="R31">
        <v>0</v>
      </c>
      <c r="S31">
        <v>0</v>
      </c>
      <c r="T31">
        <f>IF(G$17=$Z$17,$V31,$W31)</f>
        <v>11</v>
      </c>
      <c r="U31">
        <f>IF(H$17=$Z$17,$V31,$W31)</f>
        <v>11</v>
      </c>
      <c r="V31">
        <v>11</v>
      </c>
      <c r="W31">
        <v>9.3000000000000007</v>
      </c>
      <c r="AE31">
        <v>3</v>
      </c>
      <c r="AF31">
        <v>-4.4999999999999998E-2</v>
      </c>
      <c r="AN31" s="4" t="s">
        <v>434</v>
      </c>
      <c r="AO31" s="5" t="s">
        <v>314</v>
      </c>
      <c r="AQ31" s="4">
        <v>60000</v>
      </c>
      <c r="AR31" s="111">
        <v>2600</v>
      </c>
      <c r="AS31" s="111">
        <v>5200</v>
      </c>
      <c r="AT31" s="113">
        <v>12500</v>
      </c>
      <c r="AV31" s="4" t="s">
        <v>46</v>
      </c>
      <c r="AW31" s="128">
        <v>0.156</v>
      </c>
      <c r="AX31" s="129">
        <v>0.186</v>
      </c>
    </row>
    <row r="32" spans="2:50" ht="13.8" thickBot="1" x14ac:dyDescent="0.3">
      <c r="AN32" s="4" t="s">
        <v>435</v>
      </c>
      <c r="AO32" s="5" t="s">
        <v>312</v>
      </c>
      <c r="AQ32" s="4">
        <v>80000</v>
      </c>
      <c r="AR32" s="111">
        <v>3000</v>
      </c>
      <c r="AS32" s="111">
        <v>5900</v>
      </c>
      <c r="AT32" s="113">
        <v>14200</v>
      </c>
      <c r="AV32" s="6" t="s">
        <v>392</v>
      </c>
      <c r="AW32" s="130">
        <v>0.70099999999999996</v>
      </c>
      <c r="AX32" s="131">
        <v>0.55700000000000005</v>
      </c>
    </row>
    <row r="33" spans="2:46" x14ac:dyDescent="0.25">
      <c r="B33" s="46" t="s">
        <v>25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8"/>
      <c r="AN33" s="4" t="s">
        <v>436</v>
      </c>
      <c r="AO33" s="5" t="s">
        <v>314</v>
      </c>
      <c r="AQ33" s="4">
        <v>100000</v>
      </c>
      <c r="AR33" s="111">
        <v>3300</v>
      </c>
      <c r="AS33" s="111">
        <v>6500</v>
      </c>
      <c r="AT33" s="113">
        <v>15600</v>
      </c>
    </row>
    <row r="34" spans="2:46" x14ac:dyDescent="0.25">
      <c r="B34" s="12" t="s">
        <v>330</v>
      </c>
      <c r="G34" s="99" t="s">
        <v>57</v>
      </c>
      <c r="H34" s="99" t="s">
        <v>57</v>
      </c>
      <c r="I34" s="74"/>
      <c r="O34" s="14"/>
      <c r="Z34" t="s">
        <v>57</v>
      </c>
      <c r="AA34" t="s">
        <v>194</v>
      </c>
      <c r="AN34" s="4" t="s">
        <v>437</v>
      </c>
      <c r="AO34" s="5" t="s">
        <v>311</v>
      </c>
      <c r="AQ34" s="4">
        <v>120000</v>
      </c>
      <c r="AR34" s="111">
        <v>3600</v>
      </c>
      <c r="AS34" s="111">
        <v>7100</v>
      </c>
      <c r="AT34" s="113">
        <v>16900</v>
      </c>
    </row>
    <row r="35" spans="2:46" ht="16.2" thickBot="1" x14ac:dyDescent="0.4">
      <c r="B35" s="15" t="s">
        <v>329</v>
      </c>
      <c r="C35" s="17"/>
      <c r="D35" s="17"/>
      <c r="E35" s="17"/>
      <c r="F35" s="17" t="s">
        <v>332</v>
      </c>
      <c r="G35" s="109">
        <v>2</v>
      </c>
      <c r="H35" s="109">
        <v>2</v>
      </c>
      <c r="I35" s="92" t="str">
        <f>IF(OR(G35&lt;R35,G35&gt;T35,H35&lt;R35,H35&gt;T35),"Shoulder width must be "&amp;R35&amp;" - "&amp;T35&amp;" ft.","")</f>
        <v/>
      </c>
      <c r="J35" s="17"/>
      <c r="K35" s="17"/>
      <c r="L35" s="17"/>
      <c r="M35" s="17"/>
      <c r="N35" s="17"/>
      <c r="O35" s="19"/>
      <c r="R35">
        <v>0</v>
      </c>
      <c r="T35">
        <f>MAX(V30:W31)</f>
        <v>17</v>
      </c>
      <c r="AF35">
        <v>0.26700000000000002</v>
      </c>
      <c r="AN35" s="4" t="s">
        <v>438</v>
      </c>
      <c r="AO35" s="5" t="s">
        <v>313</v>
      </c>
      <c r="AQ35" s="4">
        <v>140000</v>
      </c>
      <c r="AR35" s="111">
        <v>3800</v>
      </c>
      <c r="AS35" s="111">
        <v>7600</v>
      </c>
      <c r="AT35" s="113">
        <v>18100</v>
      </c>
    </row>
    <row r="36" spans="2:46" ht="13.8" thickBot="1" x14ac:dyDescent="0.3">
      <c r="AN36" s="4" t="s">
        <v>439</v>
      </c>
      <c r="AO36" s="5" t="s">
        <v>314</v>
      </c>
      <c r="AQ36" s="4">
        <v>160000</v>
      </c>
      <c r="AR36" s="111">
        <v>4000</v>
      </c>
      <c r="AS36" s="111">
        <v>8000</v>
      </c>
      <c r="AT36" s="113">
        <v>19200</v>
      </c>
    </row>
    <row r="37" spans="2:46" x14ac:dyDescent="0.25">
      <c r="B37" s="46" t="s">
        <v>102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8"/>
      <c r="AN37" s="4" t="s">
        <v>440</v>
      </c>
      <c r="AO37" s="5" t="s">
        <v>313</v>
      </c>
      <c r="AQ37" s="4">
        <v>180000</v>
      </c>
      <c r="AR37" s="111">
        <v>4200</v>
      </c>
      <c r="AS37" s="111">
        <v>8500</v>
      </c>
      <c r="AT37" s="113">
        <v>20200</v>
      </c>
    </row>
    <row r="38" spans="2:46" x14ac:dyDescent="0.25">
      <c r="B38" s="12" t="s">
        <v>103</v>
      </c>
      <c r="G38" s="100">
        <v>2</v>
      </c>
      <c r="H38" s="65" t="str">
        <f>IF(G38=0,"Enter a nonzero value to conduct an empirical Bayes analysis.","Enter zero to analyze two segments or scenarios for a segment.")</f>
        <v>Enter zero to analyze two segments or scenarios for a segment.</v>
      </c>
      <c r="L38" s="57"/>
      <c r="M38" s="62" t="s">
        <v>171</v>
      </c>
      <c r="N38" s="59" t="s">
        <v>172</v>
      </c>
      <c r="O38" s="60" t="s">
        <v>173</v>
      </c>
      <c r="AN38" s="4" t="s">
        <v>441</v>
      </c>
      <c r="AO38" s="5" t="s">
        <v>311</v>
      </c>
      <c r="AQ38" s="4">
        <v>200000</v>
      </c>
      <c r="AR38" s="111">
        <v>4400</v>
      </c>
      <c r="AS38" s="111">
        <v>8900</v>
      </c>
      <c r="AT38" s="113">
        <v>21200</v>
      </c>
    </row>
    <row r="39" spans="2:46" x14ac:dyDescent="0.25">
      <c r="B39" s="12" t="s">
        <v>396</v>
      </c>
      <c r="G39" s="107">
        <v>1</v>
      </c>
      <c r="L39" s="57"/>
      <c r="M39" s="63">
        <f>IF(X39=1,1/(1+G10*O46),"")</f>
        <v>0.68009988646779351</v>
      </c>
      <c r="N39" s="10">
        <f>IF(X39=1,H46*O10,"")</f>
        <v>0.20459862965333298</v>
      </c>
      <c r="O39" s="21">
        <f>IF(X39=1,N39*M39+G39/G$38*(1-M39),"")</f>
        <v>0.29909756156480116</v>
      </c>
      <c r="X39">
        <f>IF(G$38&gt;0,1,0)</f>
        <v>1</v>
      </c>
      <c r="AN39" s="4" t="s">
        <v>442</v>
      </c>
      <c r="AO39" s="5" t="s">
        <v>311</v>
      </c>
      <c r="AQ39" s="4">
        <v>220000</v>
      </c>
      <c r="AR39" s="118">
        <v>4400</v>
      </c>
      <c r="AS39" s="111">
        <v>9200</v>
      </c>
      <c r="AT39" s="113">
        <v>22100</v>
      </c>
    </row>
    <row r="40" spans="2:46" ht="13.8" thickBot="1" x14ac:dyDescent="0.3">
      <c r="B40" s="15" t="s">
        <v>397</v>
      </c>
      <c r="C40" s="17"/>
      <c r="D40" s="17"/>
      <c r="E40" s="17"/>
      <c r="F40" s="17"/>
      <c r="G40" s="110">
        <v>1</v>
      </c>
      <c r="H40" s="17"/>
      <c r="I40" s="17"/>
      <c r="J40" s="17"/>
      <c r="K40" s="17"/>
      <c r="L40" s="58"/>
      <c r="M40" s="64">
        <f>IF(X40=1,1/(1+G11*O47),"")</f>
        <v>0.97501239080676572</v>
      </c>
      <c r="N40" s="23">
        <f>IF(X40=1,H47*O11,"")</f>
        <v>3.0186091198386788E-2</v>
      </c>
      <c r="O40" s="24">
        <f t="shared" ref="O40" si="0">IF(X40=1,N40*M40+G40/G$38*(1-M40),"")</f>
        <v>4.1925617545067309E-2</v>
      </c>
      <c r="X40">
        <f>IF(G$38&gt;0,1,0)</f>
        <v>1</v>
      </c>
      <c r="AN40" s="4" t="s">
        <v>443</v>
      </c>
      <c r="AO40" s="5" t="s">
        <v>311</v>
      </c>
      <c r="AQ40" s="4">
        <v>240000</v>
      </c>
      <c r="AR40" s="118">
        <v>4400</v>
      </c>
      <c r="AS40" s="111">
        <v>9600</v>
      </c>
      <c r="AT40" s="113">
        <v>22900</v>
      </c>
    </row>
    <row r="41" spans="2:46" ht="13.8" thickBot="1" x14ac:dyDescent="0.3">
      <c r="L41" s="57"/>
      <c r="M41" s="61"/>
      <c r="N41" s="10"/>
      <c r="O41" s="10"/>
      <c r="AN41" s="6" t="s">
        <v>444</v>
      </c>
      <c r="AO41" s="77" t="s">
        <v>313</v>
      </c>
      <c r="AQ41" s="4">
        <v>260000</v>
      </c>
      <c r="AR41" s="118">
        <v>4400</v>
      </c>
      <c r="AS41" s="111">
        <v>9900</v>
      </c>
      <c r="AT41" s="113">
        <v>23700</v>
      </c>
    </row>
    <row r="42" spans="2:46" ht="13.8" thickBot="1" x14ac:dyDescent="0.3">
      <c r="B42" s="49" t="s">
        <v>304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  <c r="AQ42" s="4">
        <v>280000</v>
      </c>
      <c r="AR42" s="118">
        <v>4400</v>
      </c>
      <c r="AS42" s="111">
        <v>10300</v>
      </c>
      <c r="AT42" s="113">
        <v>24500</v>
      </c>
    </row>
    <row r="43" spans="2:46" ht="13.8" thickBot="1" x14ac:dyDescent="0.3">
      <c r="AQ43" s="4">
        <v>300000</v>
      </c>
      <c r="AR43" s="118">
        <v>4400</v>
      </c>
      <c r="AS43" s="111">
        <v>10600</v>
      </c>
      <c r="AT43" s="113">
        <v>25300</v>
      </c>
    </row>
    <row r="44" spans="2:46" x14ac:dyDescent="0.25">
      <c r="B44" s="46" t="s">
        <v>108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8"/>
      <c r="AQ44" s="78">
        <v>999999</v>
      </c>
      <c r="AR44" s="119">
        <v>4400</v>
      </c>
      <c r="AS44" s="119">
        <v>10600</v>
      </c>
      <c r="AT44" s="120">
        <v>25300</v>
      </c>
    </row>
    <row r="45" spans="2:46" x14ac:dyDescent="0.25">
      <c r="B45" s="55"/>
      <c r="C45" s="2"/>
      <c r="D45" s="2"/>
      <c r="E45" s="2"/>
      <c r="F45" s="2"/>
      <c r="G45" s="2"/>
      <c r="H45" s="2"/>
      <c r="I45" s="1"/>
      <c r="J45" s="2"/>
      <c r="K45" s="2"/>
      <c r="L45" s="2"/>
      <c r="M45" s="2"/>
      <c r="N45" s="75" t="s">
        <v>186</v>
      </c>
      <c r="O45" s="138" t="s">
        <v>47</v>
      </c>
      <c r="AF45" s="8" t="s">
        <v>344</v>
      </c>
      <c r="AG45" s="8" t="s">
        <v>345</v>
      </c>
      <c r="AH45" s="8" t="s">
        <v>346</v>
      </c>
      <c r="AI45" s="8" t="s">
        <v>75</v>
      </c>
      <c r="AJ45" s="8" t="s">
        <v>315</v>
      </c>
      <c r="AK45" s="8" t="s">
        <v>344</v>
      </c>
      <c r="AL45" s="8" t="s">
        <v>345</v>
      </c>
      <c r="AM45" s="8" t="s">
        <v>346</v>
      </c>
      <c r="AN45" s="8" t="s">
        <v>75</v>
      </c>
      <c r="AO45" s="8" t="s">
        <v>315</v>
      </c>
    </row>
    <row r="46" spans="2:46" x14ac:dyDescent="0.25">
      <c r="B46" s="12"/>
      <c r="F46" s="8" t="s">
        <v>388</v>
      </c>
      <c r="G46" s="10">
        <f>G$19*EXP($AF46+$AG46*LN(G$69)+$AH46*G$70)*$AI46*$AJ46</f>
        <v>0.20459862965333298</v>
      </c>
      <c r="H46" s="10">
        <f>H$19*EXP($AF46+$AG46*LN(H$69)+$AH46*H$70)*$AI46*$AJ46</f>
        <v>0.20459862965333298</v>
      </c>
      <c r="I46" s="4"/>
      <c r="N46" t="s">
        <v>55</v>
      </c>
      <c r="O46" s="139">
        <f>VLOOKUP($N46,$AQ$15:$AV$17,MATCH(O$45,$AQ$15:$AV$15,0),FALSE)</f>
        <v>2.2989999999999999</v>
      </c>
      <c r="AF46">
        <f t="shared" ref="AF46:AI47" si="1">VLOOKUP($N46,$AQ$15:$AV$17,MATCH(AF$45,$AQ$15:$AV$15,0),FALSE)</f>
        <v>-9.8030000000000008</v>
      </c>
      <c r="AG46">
        <f t="shared" si="1"/>
        <v>1.1539999999999999</v>
      </c>
      <c r="AH46">
        <f t="shared" si="1"/>
        <v>-0.80300000000000005</v>
      </c>
      <c r="AI46">
        <f t="shared" si="1"/>
        <v>1</v>
      </c>
      <c r="AJ46">
        <f>IF(G$18=$AN$16,1,VLOOKUP($N46,$AQ$21:$AU$23,MATCH(VLOOKUP(G$18,$AN$16:$AO$41,2,FALSE),$AQ$21:$AU$21,0),FALSE))</f>
        <v>1</v>
      </c>
      <c r="AK46">
        <f t="shared" ref="AK46:AN47" si="2">VLOOKUP($N46,$AQ$15:$AV$17,MATCH(AK$45,$AQ$15:$AV$15,0),FALSE)</f>
        <v>-9.8030000000000008</v>
      </c>
      <c r="AL46">
        <f t="shared" si="2"/>
        <v>1.1539999999999999</v>
      </c>
      <c r="AM46">
        <f t="shared" si="2"/>
        <v>-0.80300000000000005</v>
      </c>
      <c r="AN46">
        <f t="shared" si="2"/>
        <v>1</v>
      </c>
      <c r="AO46">
        <f>IF(H$18=$AN$16,1,VLOOKUP($N46,$AQ$21:$AU$23,MATCH(VLOOKUP(H$18,$AN$16:$AO$41,2,FALSE),$AQ$21:$AU$21,0),FALSE))</f>
        <v>1</v>
      </c>
    </row>
    <row r="47" spans="2:46" ht="13.8" thickBot="1" x14ac:dyDescent="0.3">
      <c r="B47" s="15"/>
      <c r="C47" s="17"/>
      <c r="D47" s="17"/>
      <c r="E47" s="17"/>
      <c r="F47" s="22" t="s">
        <v>389</v>
      </c>
      <c r="G47" s="23">
        <f>G$19*EXP($AF47+$AG47*LN(G$69)+$AH47*G$70)*$AI47*$AJ47</f>
        <v>2.6413658979651901E-2</v>
      </c>
      <c r="H47" s="23">
        <f>H$19*EXP($AF47+$AG47*LN(H$69)+$AH47*H$70)*$AI47*$AJ47</f>
        <v>2.6413658979651901E-2</v>
      </c>
      <c r="I47" s="16"/>
      <c r="J47" s="17"/>
      <c r="K47" s="17"/>
      <c r="L47" s="17"/>
      <c r="M47" s="17"/>
      <c r="N47" s="17" t="s">
        <v>56</v>
      </c>
      <c r="O47" s="140">
        <f>VLOOKUP($N47,$AQ$15:$AV$17,MATCH(O$45,$AQ$15:$AV$15,0),FALSE)</f>
        <v>0.84899999999999998</v>
      </c>
      <c r="AF47">
        <f t="shared" si="1"/>
        <v>-3.827</v>
      </c>
      <c r="AG47">
        <f t="shared" si="1"/>
        <v>0.36399999999999999</v>
      </c>
      <c r="AH47">
        <f t="shared" si="1"/>
        <v>-1.55</v>
      </c>
      <c r="AI47">
        <f t="shared" si="1"/>
        <v>1</v>
      </c>
      <c r="AJ47">
        <f>IF(G$18=$AN$16,1,VLOOKUP($N47,$AQ$21:$AU$23,MATCH(VLOOKUP(G$18,$AN$16:$AO$41,2,FALSE),$AQ$21:$AU$21,0),FALSE))</f>
        <v>1</v>
      </c>
      <c r="AK47">
        <f t="shared" si="2"/>
        <v>-3.827</v>
      </c>
      <c r="AL47">
        <f t="shared" si="2"/>
        <v>0.36399999999999999</v>
      </c>
      <c r="AM47">
        <f t="shared" si="2"/>
        <v>-1.55</v>
      </c>
      <c r="AN47">
        <f t="shared" si="2"/>
        <v>1</v>
      </c>
      <c r="AO47">
        <f>IF(H$18=$AN$16,1,VLOOKUP($N47,$AQ$21:$AU$23,MATCH(VLOOKUP(H$18,$AN$16:$AO$41,2,FALSE),$AQ$21:$AU$21,0),FALSE))</f>
        <v>1</v>
      </c>
    </row>
    <row r="48" spans="2:46" ht="13.8" thickBot="1" x14ac:dyDescent="0.3"/>
    <row r="49" spans="2:32" x14ac:dyDescent="0.25">
      <c r="B49" s="46" t="s">
        <v>28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8"/>
    </row>
    <row r="50" spans="2:32" x14ac:dyDescent="0.25">
      <c r="B50" s="52" t="s">
        <v>336</v>
      </c>
      <c r="I50" s="1"/>
      <c r="O50" s="14"/>
    </row>
    <row r="51" spans="2:32" x14ac:dyDescent="0.25">
      <c r="B51" s="12">
        <v>121</v>
      </c>
      <c r="C51" t="s">
        <v>29</v>
      </c>
      <c r="G51" s="10">
        <f>EXP($AF51*G$71)</f>
        <v>1</v>
      </c>
      <c r="H51" s="10">
        <f>EXP($AF51*H$71)</f>
        <v>1</v>
      </c>
      <c r="I51" s="4"/>
      <c r="O51" s="14"/>
      <c r="AF51">
        <v>0.48099999999999998</v>
      </c>
    </row>
    <row r="52" spans="2:32" x14ac:dyDescent="0.25">
      <c r="B52" s="12">
        <v>122</v>
      </c>
      <c r="C52" t="s">
        <v>338</v>
      </c>
      <c r="G52" s="10">
        <f>EXP($AF52*(G$30-$AE52))</f>
        <v>0.95599748183309996</v>
      </c>
      <c r="H52" s="10">
        <f>EXP($AF52*(H$30-$AE52))</f>
        <v>0.95599748183309996</v>
      </c>
      <c r="I52" s="4"/>
      <c r="O52" s="14"/>
      <c r="AE52">
        <v>5</v>
      </c>
      <c r="AF52">
        <v>-4.4999999999999998E-2</v>
      </c>
    </row>
    <row r="53" spans="2:32" x14ac:dyDescent="0.25">
      <c r="B53" s="54">
        <v>123</v>
      </c>
      <c r="C53" s="7" t="s">
        <v>339</v>
      </c>
      <c r="D53" s="7"/>
      <c r="E53" s="7"/>
      <c r="F53" s="7"/>
      <c r="G53" s="11">
        <f>EXP($AF53*(G$31-$AE53))</f>
        <v>1.0460278599087169</v>
      </c>
      <c r="H53" s="11">
        <f>EXP($AF53*(H$31-$AE53))</f>
        <v>1.0460278599087169</v>
      </c>
      <c r="I53" s="6"/>
      <c r="J53" s="7"/>
      <c r="K53" s="7"/>
      <c r="L53" s="7"/>
      <c r="M53" s="7"/>
      <c r="N53" s="7"/>
      <c r="O53" s="31"/>
      <c r="AE53">
        <v>3</v>
      </c>
      <c r="AF53">
        <v>-4.4999999999999998E-2</v>
      </c>
    </row>
    <row r="54" spans="2:32" x14ac:dyDescent="0.25">
      <c r="B54" s="52" t="s">
        <v>337</v>
      </c>
      <c r="I54" s="4"/>
      <c r="O54" s="14"/>
    </row>
    <row r="55" spans="2:32" x14ac:dyDescent="0.25">
      <c r="B55" s="12">
        <v>121</v>
      </c>
      <c r="C55" t="s">
        <v>29</v>
      </c>
      <c r="G55" s="10">
        <f>EXP($AF55*G$71)</f>
        <v>1</v>
      </c>
      <c r="H55" s="10">
        <f>EXP($AF55*H$71)</f>
        <v>1</v>
      </c>
      <c r="I55" s="4"/>
      <c r="O55" s="14"/>
      <c r="AF55">
        <v>0.48099999999999998</v>
      </c>
    </row>
    <row r="56" spans="2:32" x14ac:dyDescent="0.25">
      <c r="B56" s="12">
        <v>122</v>
      </c>
      <c r="C56" t="s">
        <v>338</v>
      </c>
      <c r="G56" s="10">
        <f>EXP($AF56*(G$30-$AE56))</f>
        <v>0.95599748183309996</v>
      </c>
      <c r="H56" s="10">
        <f>EXP($AF56*(H$30-$AE56))</f>
        <v>0.95599748183309996</v>
      </c>
      <c r="I56" s="4"/>
      <c r="O56" s="14"/>
      <c r="AE56">
        <v>5</v>
      </c>
      <c r="AF56">
        <v>-4.4999999999999998E-2</v>
      </c>
    </row>
    <row r="57" spans="2:32" x14ac:dyDescent="0.25">
      <c r="B57" s="12">
        <v>123</v>
      </c>
      <c r="C57" t="s">
        <v>339</v>
      </c>
      <c r="G57" s="10">
        <f>EXP($AF57*(G$31-$AE57))</f>
        <v>1.0460278599087169</v>
      </c>
      <c r="H57" s="10">
        <f>EXP($AF57*(H$31-$AE57))</f>
        <v>1.0460278599087169</v>
      </c>
      <c r="I57" s="4"/>
      <c r="O57" s="14"/>
      <c r="AE57">
        <v>3</v>
      </c>
      <c r="AF57">
        <v>-4.4999999999999998E-2</v>
      </c>
    </row>
    <row r="58" spans="2:32" ht="13.8" thickBot="1" x14ac:dyDescent="0.3">
      <c r="B58" s="15">
        <v>124</v>
      </c>
      <c r="C58" s="17" t="s">
        <v>340</v>
      </c>
      <c r="D58" s="17"/>
      <c r="E58" s="17"/>
      <c r="F58" s="17"/>
      <c r="G58" s="23">
        <f>(1-G72)+G72*EXP($AF58*(1/G35))</f>
        <v>1.1428212661351094</v>
      </c>
      <c r="H58" s="23">
        <f>(1-H72)+H72*EXP($AF58*(1/H35))</f>
        <v>1.1428212661351094</v>
      </c>
      <c r="I58" s="16"/>
      <c r="J58" s="17"/>
      <c r="K58" s="17"/>
      <c r="L58" s="17"/>
      <c r="M58" s="17"/>
      <c r="N58" s="17"/>
      <c r="O58" s="19"/>
      <c r="AF58">
        <v>0.26700000000000002</v>
      </c>
    </row>
    <row r="59" spans="2:32" ht="13.8" thickBot="1" x14ac:dyDescent="0.3">
      <c r="G59" s="10"/>
      <c r="H59" s="10"/>
    </row>
    <row r="60" spans="2:32" x14ac:dyDescent="0.25">
      <c r="B60" s="46" t="s">
        <v>390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8"/>
    </row>
    <row r="61" spans="2:32" x14ac:dyDescent="0.25">
      <c r="B61" s="12"/>
      <c r="C61" s="2"/>
      <c r="D61" s="2"/>
      <c r="F61" s="123" t="s">
        <v>170</v>
      </c>
      <c r="G61" s="10"/>
      <c r="I61" s="1"/>
      <c r="M61" s="148" t="s">
        <v>169</v>
      </c>
      <c r="O61" s="14"/>
    </row>
    <row r="62" spans="2:32" x14ac:dyDescent="0.25">
      <c r="B62" s="12"/>
      <c r="F62" s="8" t="s">
        <v>305</v>
      </c>
      <c r="G62" s="121">
        <f>G$12*N62</f>
        <v>6.8087569046998732E-3</v>
      </c>
      <c r="H62" s="121">
        <f t="shared" ref="H62:H66" si="3">H$12*O62</f>
        <v>9.8896721941861866E-3</v>
      </c>
      <c r="M62" s="8" t="s">
        <v>69</v>
      </c>
      <c r="N62">
        <f>VLOOKUP($M62,$AV$27:$AX$32,MATCH(G$17,$AV$27:$AX$27,0),FALSE)</f>
        <v>2.9000000000000001E-2</v>
      </c>
      <c r="O62" s="14">
        <f t="shared" ref="O62:O66" si="4">VLOOKUP($M62,$AV$27:$AX$32,MATCH(H$17,$AV$27:$AX$27,0),FALSE)</f>
        <v>2.9000000000000001E-2</v>
      </c>
    </row>
    <row r="63" spans="2:32" x14ac:dyDescent="0.25">
      <c r="B63" s="12"/>
      <c r="F63" s="8" t="s">
        <v>306</v>
      </c>
      <c r="G63" s="121">
        <f t="shared" ref="G63:G66" si="5">G$12*N63</f>
        <v>6.8087569046998732E-3</v>
      </c>
      <c r="H63" s="121">
        <f t="shared" si="3"/>
        <v>9.8896721941861866E-3</v>
      </c>
      <c r="M63" s="8" t="s">
        <v>70</v>
      </c>
      <c r="N63">
        <f t="shared" ref="N63:N66" si="6">VLOOKUP($M63,$AV$27:$AX$32,MATCH(G$17,$AV$27:$AX$27,0),FALSE)</f>
        <v>2.9000000000000001E-2</v>
      </c>
      <c r="O63" s="14">
        <f t="shared" si="4"/>
        <v>2.9000000000000001E-2</v>
      </c>
    </row>
    <row r="64" spans="2:32" x14ac:dyDescent="0.25">
      <c r="B64" s="12"/>
      <c r="F64" s="8" t="s">
        <v>307</v>
      </c>
      <c r="G64" s="121">
        <f t="shared" si="5"/>
        <v>4.6956944170343955E-2</v>
      </c>
      <c r="H64" s="121">
        <f t="shared" si="3"/>
        <v>6.8204635821973697E-2</v>
      </c>
      <c r="M64" s="8" t="s">
        <v>71</v>
      </c>
      <c r="N64">
        <f t="shared" si="6"/>
        <v>0.2</v>
      </c>
      <c r="O64" s="14">
        <f t="shared" si="4"/>
        <v>0.2</v>
      </c>
    </row>
    <row r="65" spans="2:15" x14ac:dyDescent="0.25">
      <c r="B65" s="12"/>
      <c r="F65" s="8" t="s">
        <v>308</v>
      </c>
      <c r="G65" s="121">
        <f t="shared" si="5"/>
        <v>4.3669958078419877E-2</v>
      </c>
      <c r="H65" s="121">
        <f t="shared" si="3"/>
        <v>6.3430311314435536E-2</v>
      </c>
      <c r="M65" s="8" t="s">
        <v>46</v>
      </c>
      <c r="N65">
        <f t="shared" si="6"/>
        <v>0.186</v>
      </c>
      <c r="O65" s="14">
        <f t="shared" si="4"/>
        <v>0.186</v>
      </c>
    </row>
    <row r="66" spans="2:15" ht="13.8" thickBot="1" x14ac:dyDescent="0.3">
      <c r="B66" s="15"/>
      <c r="C66" s="17"/>
      <c r="D66" s="17"/>
      <c r="E66" s="17"/>
      <c r="F66" s="22" t="s">
        <v>391</v>
      </c>
      <c r="G66" s="122">
        <f t="shared" si="5"/>
        <v>0.13077508951440792</v>
      </c>
      <c r="H66" s="122">
        <f t="shared" si="3"/>
        <v>0.18994991076419676</v>
      </c>
      <c r="I66" s="17"/>
      <c r="J66" s="17"/>
      <c r="K66" s="17"/>
      <c r="L66" s="17"/>
      <c r="M66" s="22" t="s">
        <v>392</v>
      </c>
      <c r="N66" s="17">
        <f t="shared" si="6"/>
        <v>0.55700000000000005</v>
      </c>
      <c r="O66" s="19">
        <f t="shared" si="4"/>
        <v>0.55700000000000005</v>
      </c>
    </row>
    <row r="67" spans="2:15" ht="13.8" thickBot="1" x14ac:dyDescent="0.3"/>
    <row r="68" spans="2:15" x14ac:dyDescent="0.25">
      <c r="B68" s="46" t="s">
        <v>77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8"/>
    </row>
    <row r="69" spans="2:15" x14ac:dyDescent="0.25">
      <c r="B69" s="55" t="s">
        <v>82</v>
      </c>
      <c r="C69" s="2" t="s">
        <v>326</v>
      </c>
      <c r="D69" s="2"/>
      <c r="E69" s="2"/>
      <c r="F69" s="2"/>
      <c r="G69" s="2">
        <f>IF(ISBLANK(G22),VLOOKUP(G24,$AQ27:$AT44,MATCH(G23,$AQ27:$AT27,0),FALSE),G22)</f>
        <v>10000</v>
      </c>
      <c r="H69" s="3">
        <f>IF(ISBLANK(H22),VLOOKUP(H24,$AQ27:$AT44,MATCH(H23,$AQ27:$AT27,0),FALSE),H22)</f>
        <v>10000</v>
      </c>
      <c r="I69" s="1"/>
      <c r="J69" s="2"/>
      <c r="K69" s="2"/>
      <c r="L69" s="2"/>
      <c r="M69" s="2"/>
      <c r="N69" s="2"/>
      <c r="O69" s="13"/>
    </row>
    <row r="70" spans="2:15" ht="15.6" x14ac:dyDescent="0.35">
      <c r="B70" s="12" t="s">
        <v>350</v>
      </c>
      <c r="C70" t="s">
        <v>351</v>
      </c>
      <c r="G70">
        <f>IF(G17=$Z17,1,0)</f>
        <v>1</v>
      </c>
      <c r="H70" s="5">
        <f>IF(H17=$Z17,1,0)</f>
        <v>1</v>
      </c>
      <c r="I70" s="4"/>
      <c r="O70" s="14"/>
    </row>
    <row r="71" spans="2:15" ht="15.6" x14ac:dyDescent="0.35">
      <c r="B71" s="12" t="s">
        <v>341</v>
      </c>
      <c r="C71" t="s">
        <v>342</v>
      </c>
      <c r="G71">
        <f>IF(G27&gt;2,1,0)</f>
        <v>0</v>
      </c>
      <c r="H71" s="5">
        <f>IF(H27&gt;2,1,0)</f>
        <v>0</v>
      </c>
      <c r="I71" s="4"/>
      <c r="N71" s="9"/>
      <c r="O71" s="141"/>
    </row>
    <row r="72" spans="2:15" ht="16.2" thickBot="1" x14ac:dyDescent="0.4">
      <c r="B72" s="15" t="s">
        <v>331</v>
      </c>
      <c r="C72" s="17" t="s">
        <v>343</v>
      </c>
      <c r="D72" s="17"/>
      <c r="E72" s="17"/>
      <c r="F72" s="17"/>
      <c r="G72" s="17">
        <f>IF(G34=$Z34,1,0)</f>
        <v>1</v>
      </c>
      <c r="H72" s="18">
        <f>IF(H34=$Z34,1,0)</f>
        <v>1</v>
      </c>
      <c r="I72" s="16"/>
      <c r="J72" s="17"/>
      <c r="K72" s="17"/>
      <c r="L72" s="17"/>
      <c r="M72" s="17"/>
      <c r="N72" s="17"/>
      <c r="O72" s="19"/>
    </row>
  </sheetData>
  <sheetProtection algorithmName="SHA-512" hashValue="yWFZ2ayXCgzTj3eAnQUqw7uTRYQaEPhTamwRyfI6IvGtLzlwKiF3hhB99I7/feA3jOeaG7ZkAgctc54z9i7qOg==" saltValue="TSdAcTJwLkJRMqUPfk1vxQ==" spinCount="100000" sheet="1" objects="1" scenarios="1"/>
  <conditionalFormatting sqref="G39:G40">
    <cfRule type="expression" dxfId="7" priority="53">
      <formula>$X39=0</formula>
    </cfRule>
    <cfRule type="expression" dxfId="6" priority="54">
      <formula>$X39=1</formula>
    </cfRule>
  </conditionalFormatting>
  <conditionalFormatting sqref="G23:H24">
    <cfRule type="expression" dxfId="5" priority="1">
      <formula>X23=0</formula>
    </cfRule>
    <cfRule type="expression" dxfId="4" priority="2">
      <formula>X23=1</formula>
    </cfRule>
  </conditionalFormatting>
  <dataValidations count="6">
    <dataValidation type="list" allowBlank="1" showInputMessage="1" showErrorMessage="1" error="Choose a value from the menu options." sqref="G18:H18" xr:uid="{537D981D-14E6-42FE-8C78-438A7A7E1A1B}">
      <formula1>$AN$16:$AN$41</formula1>
    </dataValidation>
    <dataValidation type="list" allowBlank="1" showInputMessage="1" showErrorMessage="1" error="Choose a value from the menu options." sqref="G17:H17 G34:H34" xr:uid="{E97378E0-1766-4E60-BC5F-F7A00B6C3C08}">
      <formula1>$Z17:$AA17</formula1>
    </dataValidation>
    <dataValidation type="whole" operator="greaterThanOrEqual" allowBlank="1" showInputMessage="1" showErrorMessage="1" error="Enter an integer greater than or equal to zero." sqref="G27:H27 G39:G40" xr:uid="{ADC70C4F-18C5-4FB1-BD62-DA603F3456BC}">
      <formula1>0</formula1>
    </dataValidation>
    <dataValidation type="decimal" operator="greaterThan" allowBlank="1" showInputMessage="1" showErrorMessage="1" error="Enter a positive value greater than zero." sqref="G19:H19" xr:uid="{83749B2F-3B35-470B-BA0F-D5AFA94E3B89}">
      <formula1>0</formula1>
    </dataValidation>
    <dataValidation type="decimal" operator="greaterThanOrEqual" allowBlank="1" showInputMessage="1" showErrorMessage="1" error="Enter a value greater than or equal to zero." sqref="G38" xr:uid="{CC51761B-1CF1-45DE-BB99-09426E92023C}">
      <formula1>0</formula1>
    </dataValidation>
    <dataValidation type="list" allowBlank="1" showInputMessage="1" showErrorMessage="1" error="Choose a value from the menu options." sqref="G23:H23" xr:uid="{2B1946D1-8A73-47FF-95B0-010E4254409A}">
      <formula1>$Z23:$AB23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46FC8-0FF9-4398-86CB-C64308195B7A}">
  <sheetPr codeName="Sheet4"/>
  <dimension ref="B1:BJ76"/>
  <sheetViews>
    <sheetView showGridLines="0" workbookViewId="0">
      <pane ySplit="13" topLeftCell="A14" activePane="bottomLeft" state="frozen"/>
      <selection pane="bottomLeft"/>
    </sheetView>
  </sheetViews>
  <sheetFormatPr defaultRowHeight="13.2" x14ac:dyDescent="0.25"/>
  <cols>
    <col min="1" max="1" width="2.5546875" customWidth="1"/>
    <col min="2" max="2" width="8.44140625" customWidth="1"/>
    <col min="3" max="3" width="19.33203125" customWidth="1"/>
    <col min="4" max="4" width="8.88671875" customWidth="1"/>
    <col min="5" max="5" width="18.33203125" customWidth="1"/>
    <col min="6" max="6" width="9.77734375" customWidth="1"/>
    <col min="7" max="7" width="16.109375" customWidth="1"/>
    <col min="8" max="8" width="17.33203125" bestFit="1" customWidth="1"/>
    <col min="9" max="9" width="8.44140625" bestFit="1" customWidth="1"/>
    <col min="10" max="10" width="9.44140625" customWidth="1"/>
    <col min="11" max="12" width="15.21875" bestFit="1" customWidth="1"/>
    <col min="13" max="13" width="15.21875" customWidth="1"/>
    <col min="14" max="14" width="16.109375" customWidth="1"/>
    <col min="15" max="15" width="17.33203125" customWidth="1"/>
    <col min="16" max="28" width="8.88671875" customWidth="1"/>
    <col min="29" max="34" width="13.88671875" customWidth="1"/>
    <col min="35" max="36" width="8.88671875" customWidth="1"/>
    <col min="37" max="37" width="11.5546875" customWidth="1"/>
    <col min="38" max="38" width="12.6640625" customWidth="1"/>
    <col min="39" max="39" width="12.77734375" customWidth="1"/>
    <col min="40" max="45" width="9.33203125" customWidth="1"/>
    <col min="46" max="46" width="12.44140625" bestFit="1" customWidth="1"/>
    <col min="54" max="54" width="12.44140625" bestFit="1" customWidth="1"/>
    <col min="55" max="56" width="11.5546875" bestFit="1" customWidth="1"/>
    <col min="58" max="58" width="11.44140625" bestFit="1" customWidth="1"/>
    <col min="59" max="60" width="14.33203125" customWidth="1"/>
    <col min="61" max="61" width="14.33203125" bestFit="1" customWidth="1"/>
    <col min="62" max="63" width="14.33203125" customWidth="1"/>
  </cols>
  <sheetData>
    <row r="1" spans="2:62" ht="13.8" thickBot="1" x14ac:dyDescent="0.3"/>
    <row r="2" spans="2:62" x14ac:dyDescent="0.25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2:62" x14ac:dyDescent="0.25">
      <c r="B3" s="29" t="s">
        <v>1</v>
      </c>
      <c r="C3" s="93" t="s">
        <v>162</v>
      </c>
      <c r="D3" s="94"/>
      <c r="E3" s="8" t="s">
        <v>4</v>
      </c>
      <c r="F3" s="93"/>
      <c r="G3" s="98"/>
      <c r="H3" s="98"/>
      <c r="I3" s="42"/>
      <c r="J3" s="35"/>
      <c r="K3" s="35"/>
      <c r="L3" s="35"/>
      <c r="M3" s="41" t="s">
        <v>166</v>
      </c>
      <c r="N3" s="35"/>
      <c r="O3" s="36"/>
    </row>
    <row r="4" spans="2:62" x14ac:dyDescent="0.25">
      <c r="B4" s="29" t="s">
        <v>2</v>
      </c>
      <c r="C4" s="93" t="s">
        <v>163</v>
      </c>
      <c r="D4" s="94"/>
      <c r="E4" s="8" t="s">
        <v>5</v>
      </c>
      <c r="F4" s="93"/>
      <c r="G4" s="98"/>
      <c r="H4" s="98"/>
      <c r="I4" s="43"/>
      <c r="J4" s="27"/>
      <c r="K4" s="27"/>
      <c r="L4" s="27"/>
      <c r="M4" s="39" t="s">
        <v>254</v>
      </c>
      <c r="N4" s="27"/>
      <c r="O4" s="28"/>
    </row>
    <row r="5" spans="2:62" x14ac:dyDescent="0.25">
      <c r="B5" s="29" t="s">
        <v>3</v>
      </c>
      <c r="C5" s="95">
        <f ca="1">TODAY()</f>
        <v>45179</v>
      </c>
      <c r="D5" s="94"/>
      <c r="E5" s="8" t="s">
        <v>164</v>
      </c>
      <c r="F5" s="93" t="s">
        <v>165</v>
      </c>
      <c r="G5" s="98"/>
      <c r="H5" s="98"/>
      <c r="I5" s="43"/>
      <c r="J5" s="37"/>
      <c r="K5" s="37"/>
      <c r="L5" s="37"/>
      <c r="M5" s="40" t="s">
        <v>167</v>
      </c>
      <c r="N5" s="37"/>
      <c r="O5" s="38"/>
    </row>
    <row r="6" spans="2:62" ht="13.8" thickBot="1" x14ac:dyDescent="0.3">
      <c r="B6" s="30" t="s">
        <v>6</v>
      </c>
      <c r="C6" s="96"/>
      <c r="D6" s="97"/>
      <c r="E6" s="97"/>
      <c r="F6" s="97"/>
      <c r="G6" s="97"/>
      <c r="H6" s="97"/>
      <c r="I6" s="44"/>
      <c r="J6" s="79"/>
      <c r="K6" s="80"/>
      <c r="L6" s="80"/>
      <c r="M6" s="81" t="s">
        <v>168</v>
      </c>
      <c r="N6" s="80"/>
      <c r="O6" s="82"/>
    </row>
    <row r="7" spans="2:62" ht="13.8" thickBot="1" x14ac:dyDescent="0.3"/>
    <row r="8" spans="2:62" x14ac:dyDescent="0.25">
      <c r="B8" s="46" t="s">
        <v>7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</row>
    <row r="9" spans="2:62" x14ac:dyDescent="0.25">
      <c r="B9" s="12"/>
      <c r="C9" s="34" t="s">
        <v>114</v>
      </c>
      <c r="G9" s="32" t="str">
        <f>IF(G40&gt;0,"Crash Period","Analysis Period")</f>
        <v>Crash Period</v>
      </c>
      <c r="H9" s="32" t="str">
        <f>IF(G40&gt;0,"Analysis Period","Alternate Scenario")</f>
        <v>Analysis Period</v>
      </c>
      <c r="I9" s="4"/>
      <c r="K9" s="34" t="s">
        <v>116</v>
      </c>
      <c r="N9" s="32" t="str">
        <f>G9</f>
        <v>Crash Period</v>
      </c>
      <c r="O9" s="33" t="str">
        <f>H9</f>
        <v>Analysis Period</v>
      </c>
    </row>
    <row r="10" spans="2:62" x14ac:dyDescent="0.25">
      <c r="B10" s="12"/>
      <c r="F10" s="8" t="s">
        <v>394</v>
      </c>
      <c r="G10" s="83">
        <f>G48*N10</f>
        <v>1.2134398766517092</v>
      </c>
      <c r="H10" s="83">
        <f>IF(G$40=0,H48*O10,O41)</f>
        <v>0.78637050300001055</v>
      </c>
      <c r="M10" s="8" t="s">
        <v>394</v>
      </c>
      <c r="N10" s="83">
        <f>IF(G$17=$AK$17,PRODUCT(G53:G59),PRODUCT(N53:N59))</f>
        <v>1.3310924552522916</v>
      </c>
      <c r="O10" s="85">
        <f>PRODUCT(H53:H59)</f>
        <v>1.3310924552522916</v>
      </c>
    </row>
    <row r="11" spans="2:62" x14ac:dyDescent="0.25">
      <c r="B11" s="12"/>
      <c r="F11" s="8" t="s">
        <v>395</v>
      </c>
      <c r="G11" s="83">
        <f>G49*N11</f>
        <v>0.18373647747657937</v>
      </c>
      <c r="H11" s="83">
        <f>IF(G$40=0,H49*O11,O42)</f>
        <v>0.23406440838141732</v>
      </c>
      <c r="M11" s="8" t="s">
        <v>395</v>
      </c>
      <c r="N11" s="83">
        <f>IF(G$17=$AK$17,PRODUCT(G61:G64),PRODUCT(N61:N64))</f>
        <v>0.35204368710198464</v>
      </c>
      <c r="O11" s="85">
        <f>PRODUCT(H61:H64)</f>
        <v>0.35204368710198464</v>
      </c>
      <c r="AC11" t="s">
        <v>161</v>
      </c>
      <c r="AI11" t="s">
        <v>174</v>
      </c>
      <c r="AK11" t="s">
        <v>193</v>
      </c>
      <c r="AT11" t="s">
        <v>42</v>
      </c>
    </row>
    <row r="12" spans="2:62" ht="13.8" thickBot="1" x14ac:dyDescent="0.3">
      <c r="B12" s="15"/>
      <c r="C12" s="17"/>
      <c r="D12" s="17"/>
      <c r="E12" s="17"/>
      <c r="F12" s="22" t="s">
        <v>123</v>
      </c>
      <c r="G12" s="84">
        <f>SUM(G10:G11)</f>
        <v>1.3971763541282884</v>
      </c>
      <c r="H12" s="84">
        <f>SUM(H10:H11)</f>
        <v>1.0204349113814279</v>
      </c>
      <c r="I12" s="16"/>
      <c r="J12" s="17"/>
      <c r="K12" s="17"/>
      <c r="L12" s="17"/>
      <c r="M12" s="22"/>
      <c r="N12" s="23"/>
      <c r="O12" s="24"/>
      <c r="AC12" t="s">
        <v>182</v>
      </c>
      <c r="AD12" t="s">
        <v>184</v>
      </c>
      <c r="AE12" t="s">
        <v>183</v>
      </c>
      <c r="AF12" t="s">
        <v>185</v>
      </c>
      <c r="AT12" t="s">
        <v>76</v>
      </c>
      <c r="AU12" s="57" t="s">
        <v>344</v>
      </c>
      <c r="AV12" s="57" t="s">
        <v>345</v>
      </c>
      <c r="AW12" s="57" t="s">
        <v>75</v>
      </c>
      <c r="AX12" s="57" t="s">
        <v>47</v>
      </c>
      <c r="AY12" t="s">
        <v>315</v>
      </c>
      <c r="BB12" t="s">
        <v>76</v>
      </c>
      <c r="BC12" s="57" t="s">
        <v>344</v>
      </c>
      <c r="BD12" s="57" t="s">
        <v>345</v>
      </c>
      <c r="BE12" s="57" t="s">
        <v>75</v>
      </c>
      <c r="BF12" s="57" t="s">
        <v>47</v>
      </c>
      <c r="BG12" t="s">
        <v>315</v>
      </c>
    </row>
    <row r="13" spans="2:62" ht="13.8" thickBot="1" x14ac:dyDescent="0.3"/>
    <row r="14" spans="2:62" ht="13.8" thickBot="1" x14ac:dyDescent="0.3">
      <c r="B14" s="49" t="s">
        <v>8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1"/>
      <c r="BC14" s="1" t="s">
        <v>418</v>
      </c>
      <c r="BD14" s="3"/>
      <c r="BF14" s="1" t="s">
        <v>383</v>
      </c>
      <c r="BG14" s="2"/>
      <c r="BH14" s="2"/>
      <c r="BI14" s="2"/>
      <c r="BJ14" s="3"/>
    </row>
    <row r="15" spans="2:62" ht="16.2" thickBot="1" x14ac:dyDescent="0.4">
      <c r="BC15" s="6" t="s">
        <v>419</v>
      </c>
      <c r="BD15" s="77" t="s">
        <v>309</v>
      </c>
      <c r="BF15" s="6" t="s">
        <v>54</v>
      </c>
      <c r="BG15" s="132" t="s">
        <v>322</v>
      </c>
      <c r="BH15" s="132" t="s">
        <v>323</v>
      </c>
      <c r="BI15" s="132" t="s">
        <v>240</v>
      </c>
      <c r="BJ15" s="133" t="s">
        <v>47</v>
      </c>
    </row>
    <row r="16" spans="2:62" x14ac:dyDescent="0.25">
      <c r="B16" s="46" t="s">
        <v>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  <c r="BC16" s="1" t="s">
        <v>310</v>
      </c>
      <c r="BD16" s="3" t="s">
        <v>310</v>
      </c>
      <c r="BF16" s="4" t="s">
        <v>384</v>
      </c>
      <c r="BG16" s="111">
        <v>-6.024</v>
      </c>
      <c r="BH16" s="111">
        <v>0.64400000000000002</v>
      </c>
      <c r="BI16" s="111">
        <v>1</v>
      </c>
      <c r="BJ16" s="146">
        <v>1.2290000000000001</v>
      </c>
    </row>
    <row r="17" spans="2:62" x14ac:dyDescent="0.25">
      <c r="B17" s="12" t="s">
        <v>354</v>
      </c>
      <c r="G17" s="99" t="s">
        <v>352</v>
      </c>
      <c r="H17" s="99" t="s">
        <v>352</v>
      </c>
      <c r="O17" s="14"/>
      <c r="AK17" t="s">
        <v>352</v>
      </c>
      <c r="AL17" t="s">
        <v>353</v>
      </c>
      <c r="BC17" s="4" t="s">
        <v>420</v>
      </c>
      <c r="BD17" s="5" t="s">
        <v>314</v>
      </c>
      <c r="BF17" s="4" t="s">
        <v>385</v>
      </c>
      <c r="BG17" s="111">
        <v>-5.6269999999999998</v>
      </c>
      <c r="BH17" s="111">
        <v>0.47699999999999998</v>
      </c>
      <c r="BI17" s="111">
        <v>1</v>
      </c>
      <c r="BJ17" s="146">
        <v>0.68899999999999995</v>
      </c>
    </row>
    <row r="18" spans="2:62" x14ac:dyDescent="0.25">
      <c r="B18" s="12" t="s">
        <v>13</v>
      </c>
      <c r="G18" s="99" t="s">
        <v>52</v>
      </c>
      <c r="H18" s="99" t="s">
        <v>52</v>
      </c>
      <c r="O18" s="14"/>
      <c r="AK18" t="s">
        <v>52</v>
      </c>
      <c r="AL18" t="s">
        <v>51</v>
      </c>
      <c r="BC18" s="4" t="s">
        <v>421</v>
      </c>
      <c r="BD18" s="5" t="s">
        <v>314</v>
      </c>
      <c r="BF18" s="4" t="s">
        <v>386</v>
      </c>
      <c r="BG18" s="111">
        <v>-2.7410000000000001</v>
      </c>
      <c r="BH18" s="111">
        <v>0.22700000000000001</v>
      </c>
      <c r="BI18" s="111">
        <v>1</v>
      </c>
      <c r="BJ18" s="146">
        <v>1.03</v>
      </c>
    </row>
    <row r="19" spans="2:62" x14ac:dyDescent="0.25">
      <c r="B19" s="12" t="s">
        <v>445</v>
      </c>
      <c r="G19" s="99" t="s">
        <v>310</v>
      </c>
      <c r="H19" s="99" t="s">
        <v>310</v>
      </c>
      <c r="I19" s="65" t="str">
        <f>IF(OR(AND(G17=AL17,G19&lt;&gt;BC16),AND(H17=AL17,H19&lt;&gt;BC16)),"The calculations provided are based on region adjustment factors for rural freeways.","")</f>
        <v/>
      </c>
      <c r="O19" s="14"/>
      <c r="BC19" s="4" t="s">
        <v>422</v>
      </c>
      <c r="BD19" s="5" t="s">
        <v>311</v>
      </c>
      <c r="BF19" s="6" t="s">
        <v>387</v>
      </c>
      <c r="BG19" s="114">
        <v>-3.6059999999999999</v>
      </c>
      <c r="BH19" s="114">
        <v>0.27400000000000002</v>
      </c>
      <c r="BI19" s="114">
        <v>1</v>
      </c>
      <c r="BJ19" s="147">
        <v>0.94499999999999995</v>
      </c>
    </row>
    <row r="20" spans="2:62" ht="13.8" thickBot="1" x14ac:dyDescent="0.3">
      <c r="B20" s="15" t="s">
        <v>14</v>
      </c>
      <c r="C20" s="17"/>
      <c r="D20" s="17"/>
      <c r="E20" s="17"/>
      <c r="F20" s="17"/>
      <c r="G20" s="101">
        <v>1</v>
      </c>
      <c r="H20" s="101">
        <v>1</v>
      </c>
      <c r="I20" s="17"/>
      <c r="J20" s="17"/>
      <c r="K20" s="17"/>
      <c r="L20" s="17"/>
      <c r="M20" s="17"/>
      <c r="N20" s="17"/>
      <c r="O20" s="19"/>
      <c r="BC20" s="4" t="s">
        <v>423</v>
      </c>
      <c r="BD20" s="5" t="s">
        <v>313</v>
      </c>
    </row>
    <row r="21" spans="2:62" ht="13.8" thickBot="1" x14ac:dyDescent="0.3">
      <c r="BC21" s="4" t="s">
        <v>424</v>
      </c>
      <c r="BD21" s="5" t="s">
        <v>312</v>
      </c>
      <c r="BF21" s="1" t="s">
        <v>317</v>
      </c>
      <c r="BG21" s="2"/>
      <c r="BH21" s="2"/>
      <c r="BI21" s="2"/>
      <c r="BJ21" s="3"/>
    </row>
    <row r="22" spans="2:62" ht="15.6" x14ac:dyDescent="0.35">
      <c r="B22" s="46" t="s">
        <v>16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  <c r="BC22" s="4" t="s">
        <v>425</v>
      </c>
      <c r="BD22" s="5" t="s">
        <v>311</v>
      </c>
      <c r="BF22" s="4"/>
      <c r="BG22" t="s">
        <v>318</v>
      </c>
      <c r="BJ22" s="5"/>
    </row>
    <row r="23" spans="2:62" x14ac:dyDescent="0.25">
      <c r="B23" s="12" t="s">
        <v>357</v>
      </c>
      <c r="G23" s="143">
        <v>10000</v>
      </c>
      <c r="H23" s="143">
        <v>10000</v>
      </c>
      <c r="J23" t="s">
        <v>454</v>
      </c>
      <c r="O23" s="14"/>
      <c r="BC23" s="4" t="s">
        <v>426</v>
      </c>
      <c r="BD23" s="5" t="s">
        <v>312</v>
      </c>
      <c r="BF23" s="6" t="s">
        <v>54</v>
      </c>
      <c r="BG23" s="132" t="s">
        <v>312</v>
      </c>
      <c r="BH23" s="132" t="s">
        <v>311</v>
      </c>
      <c r="BI23" s="132" t="s">
        <v>313</v>
      </c>
      <c r="BJ23" s="133" t="s">
        <v>314</v>
      </c>
    </row>
    <row r="24" spans="2:62" ht="13.8" thickBot="1" x14ac:dyDescent="0.3">
      <c r="B24" s="15" t="s">
        <v>358</v>
      </c>
      <c r="C24" s="17"/>
      <c r="D24" s="17"/>
      <c r="E24" s="17"/>
      <c r="F24" s="17" t="s">
        <v>403</v>
      </c>
      <c r="G24" s="144">
        <v>45</v>
      </c>
      <c r="H24" s="144">
        <v>45</v>
      </c>
      <c r="I24" s="154"/>
      <c r="J24" s="153" t="s">
        <v>453</v>
      </c>
      <c r="K24" s="17"/>
      <c r="L24" s="17"/>
      <c r="M24" s="17"/>
      <c r="N24" s="17"/>
      <c r="O24" s="19"/>
      <c r="AK24">
        <v>30</v>
      </c>
      <c r="AL24">
        <f>AK24+5</f>
        <v>35</v>
      </c>
      <c r="AM24">
        <f t="shared" ref="AM24:AS24" si="0">AL24+5</f>
        <v>40</v>
      </c>
      <c r="AN24">
        <f t="shared" si="0"/>
        <v>45</v>
      </c>
      <c r="AO24">
        <f t="shared" si="0"/>
        <v>50</v>
      </c>
      <c r="AP24">
        <f t="shared" si="0"/>
        <v>55</v>
      </c>
      <c r="AQ24">
        <f t="shared" si="0"/>
        <v>60</v>
      </c>
      <c r="AR24">
        <f t="shared" si="0"/>
        <v>65</v>
      </c>
      <c r="AS24">
        <f t="shared" si="0"/>
        <v>70</v>
      </c>
      <c r="BC24" s="4" t="s">
        <v>427</v>
      </c>
      <c r="BD24" s="5" t="s">
        <v>314</v>
      </c>
      <c r="BF24" s="4" t="s">
        <v>384</v>
      </c>
      <c r="BG24" s="126">
        <v>1.39</v>
      </c>
      <c r="BH24" s="126">
        <v>1.07</v>
      </c>
      <c r="BI24" s="126">
        <v>0.7</v>
      </c>
      <c r="BJ24" s="127">
        <v>0.96</v>
      </c>
    </row>
    <row r="25" spans="2:62" ht="13.8" thickBot="1" x14ac:dyDescent="0.3">
      <c r="BC25" s="4" t="s">
        <v>428</v>
      </c>
      <c r="BD25" s="5" t="s">
        <v>313</v>
      </c>
      <c r="BF25" s="4" t="s">
        <v>385</v>
      </c>
      <c r="BG25" s="128">
        <v>1.39</v>
      </c>
      <c r="BH25" s="128">
        <v>1.07</v>
      </c>
      <c r="BI25" s="128">
        <v>0.7</v>
      </c>
      <c r="BJ25" s="129">
        <v>0.96</v>
      </c>
    </row>
    <row r="26" spans="2:62" x14ac:dyDescent="0.25">
      <c r="B26" s="46" t="s">
        <v>17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  <c r="BC26" s="4" t="s">
        <v>429</v>
      </c>
      <c r="BD26" s="5" t="s">
        <v>311</v>
      </c>
      <c r="BF26" s="4" t="s">
        <v>386</v>
      </c>
      <c r="BG26" s="128">
        <v>1.39</v>
      </c>
      <c r="BH26" s="128">
        <v>1.07</v>
      </c>
      <c r="BI26" s="128">
        <v>0.7</v>
      </c>
      <c r="BJ26" s="129">
        <v>0.96</v>
      </c>
    </row>
    <row r="27" spans="2:62" ht="16.2" thickBot="1" x14ac:dyDescent="0.4">
      <c r="B27" s="15" t="s">
        <v>369</v>
      </c>
      <c r="C27" s="17"/>
      <c r="D27" s="17"/>
      <c r="E27" s="17"/>
      <c r="F27" s="17" t="s">
        <v>335</v>
      </c>
      <c r="G27" s="109">
        <v>0</v>
      </c>
      <c r="H27" s="109">
        <v>0</v>
      </c>
      <c r="I27" s="73"/>
      <c r="J27" s="17"/>
      <c r="K27" s="17"/>
      <c r="L27" s="17"/>
      <c r="M27" s="17"/>
      <c r="N27" s="17"/>
      <c r="O27" s="19"/>
      <c r="BC27" s="4" t="s">
        <v>430</v>
      </c>
      <c r="BD27" s="5" t="s">
        <v>314</v>
      </c>
      <c r="BF27" s="6" t="s">
        <v>387</v>
      </c>
      <c r="BG27" s="130">
        <v>1.39</v>
      </c>
      <c r="BH27" s="130">
        <v>1.07</v>
      </c>
      <c r="BI27" s="130">
        <v>0.7</v>
      </c>
      <c r="BJ27" s="131">
        <v>0.96</v>
      </c>
    </row>
    <row r="28" spans="2:62" ht="13.8" thickBot="1" x14ac:dyDescent="0.3">
      <c r="BC28" s="4" t="s">
        <v>431</v>
      </c>
      <c r="BD28" s="5" t="s">
        <v>311</v>
      </c>
    </row>
    <row r="29" spans="2:62" x14ac:dyDescent="0.25">
      <c r="B29" s="46" t="s">
        <v>20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  <c r="BC29" s="4" t="s">
        <v>432</v>
      </c>
      <c r="BD29" s="5" t="s">
        <v>312</v>
      </c>
      <c r="BF29" s="1" t="s">
        <v>390</v>
      </c>
      <c r="BG29" s="2"/>
      <c r="BH29" s="2"/>
      <c r="BI29" s="2"/>
      <c r="BJ29" s="3"/>
    </row>
    <row r="30" spans="2:62" ht="15.6" x14ac:dyDescent="0.35">
      <c r="B30" s="12" t="s">
        <v>327</v>
      </c>
      <c r="F30" t="s">
        <v>333</v>
      </c>
      <c r="G30" s="99">
        <v>6</v>
      </c>
      <c r="H30" s="99">
        <v>6</v>
      </c>
      <c r="I30" s="72" t="str">
        <f>IF(OR(G30&lt;AC30,G30&gt;AE30,H30&lt;AD30,H30&gt;AF30),"Right shoulder width must be 0 - "&amp;AG30&amp;" ft (one-way segments) or 0 - "&amp;AH30&amp;" ft (two-way segments).","")</f>
        <v/>
      </c>
      <c r="O30" s="14"/>
      <c r="AC30">
        <v>0</v>
      </c>
      <c r="AD30">
        <v>0</v>
      </c>
      <c r="AE30">
        <f>IF(G$17=$AK$17,$AG30,$AH30)</f>
        <v>10.5</v>
      </c>
      <c r="AF30">
        <f>IF(H$17=$AK$17,$AG30,$AH30)</f>
        <v>10.5</v>
      </c>
      <c r="AG30">
        <v>10.5</v>
      </c>
      <c r="AH30">
        <v>8</v>
      </c>
      <c r="BC30" s="4" t="s">
        <v>433</v>
      </c>
      <c r="BD30" s="5" t="s">
        <v>313</v>
      </c>
      <c r="BF30" s="6" t="s">
        <v>398</v>
      </c>
      <c r="BG30" s="7" t="s">
        <v>399</v>
      </c>
      <c r="BH30" s="7" t="s">
        <v>400</v>
      </c>
      <c r="BI30" s="7" t="s">
        <v>401</v>
      </c>
      <c r="BJ30" s="77" t="s">
        <v>402</v>
      </c>
    </row>
    <row r="31" spans="2:62" ht="16.2" thickBot="1" x14ac:dyDescent="0.4">
      <c r="B31" s="15" t="s">
        <v>328</v>
      </c>
      <c r="C31" s="17"/>
      <c r="D31" s="17"/>
      <c r="E31" s="17"/>
      <c r="F31" s="17" t="s">
        <v>334</v>
      </c>
      <c r="G31" s="109">
        <v>2</v>
      </c>
      <c r="H31" s="109">
        <v>2</v>
      </c>
      <c r="I31" s="73" t="str">
        <f>IF(OR(G31&lt;AC31,G31&gt;AE31,H31&lt;AD31,H31&gt;AF31),"Left shoulder width must be 0 - "&amp;AG31&amp;" ft (one-way segments) or 0 - "&amp;AH31&amp;" ft (two-way segments).","")</f>
        <v/>
      </c>
      <c r="J31" s="17"/>
      <c r="K31" s="17"/>
      <c r="L31" s="17"/>
      <c r="M31" s="17"/>
      <c r="N31" s="17"/>
      <c r="O31" s="19"/>
      <c r="AC31">
        <v>0</v>
      </c>
      <c r="AD31">
        <v>0</v>
      </c>
      <c r="AE31">
        <f>IF(G$17=$AK$17,$AG31,$AH31)</f>
        <v>13</v>
      </c>
      <c r="AF31">
        <f>IF(H$17=$AK$17,$AG31,$AH31)</f>
        <v>13</v>
      </c>
      <c r="AG31">
        <v>13</v>
      </c>
      <c r="AH31">
        <v>9</v>
      </c>
      <c r="BC31" s="4" t="s">
        <v>434</v>
      </c>
      <c r="BD31" s="5" t="s">
        <v>314</v>
      </c>
      <c r="BF31" s="4" t="s">
        <v>69</v>
      </c>
      <c r="BG31" s="128">
        <v>8.9999999999999993E-3</v>
      </c>
      <c r="BH31" s="128">
        <v>4.0000000000000001E-3</v>
      </c>
      <c r="BI31" s="128">
        <v>4.3999999999999997E-2</v>
      </c>
      <c r="BJ31" s="129">
        <v>6.0000000000000001E-3</v>
      </c>
    </row>
    <row r="32" spans="2:62" ht="13.8" thickBot="1" x14ac:dyDescent="0.3">
      <c r="BC32" s="4" t="s">
        <v>435</v>
      </c>
      <c r="BD32" s="5" t="s">
        <v>312</v>
      </c>
      <c r="BF32" s="4" t="s">
        <v>70</v>
      </c>
      <c r="BG32" s="128">
        <v>4.5999999999999999E-2</v>
      </c>
      <c r="BH32" s="128">
        <v>1.2999999999999999E-2</v>
      </c>
      <c r="BI32" s="128">
        <v>6.0999999999999999E-2</v>
      </c>
      <c r="BJ32" s="129">
        <v>6.0000000000000001E-3</v>
      </c>
    </row>
    <row r="33" spans="2:62" x14ac:dyDescent="0.25">
      <c r="B33" s="46" t="s">
        <v>15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8"/>
      <c r="BC33" s="4" t="s">
        <v>436</v>
      </c>
      <c r="BD33" s="5" t="s">
        <v>314</v>
      </c>
      <c r="BF33" s="4" t="s">
        <v>71</v>
      </c>
      <c r="BG33" s="128">
        <v>8.6999999999999994E-2</v>
      </c>
      <c r="BH33" s="128">
        <v>0.104</v>
      </c>
      <c r="BI33" s="128">
        <v>0.114</v>
      </c>
      <c r="BJ33" s="129">
        <v>0.10299999999999999</v>
      </c>
    </row>
    <row r="34" spans="2:62" ht="15.6" x14ac:dyDescent="0.35">
      <c r="B34" s="12" t="s">
        <v>360</v>
      </c>
      <c r="F34" t="s">
        <v>363</v>
      </c>
      <c r="G34" s="99">
        <v>2</v>
      </c>
      <c r="H34" s="99">
        <v>2</v>
      </c>
      <c r="I34" s="74"/>
      <c r="J34" s="76" t="s">
        <v>450</v>
      </c>
      <c r="O34" s="14"/>
      <c r="BC34" s="4" t="s">
        <v>437</v>
      </c>
      <c r="BD34" s="5" t="s">
        <v>311</v>
      </c>
      <c r="BF34" s="4" t="s">
        <v>46</v>
      </c>
      <c r="BG34" s="128">
        <v>0.13300000000000001</v>
      </c>
      <c r="BH34" s="128">
        <v>0.182</v>
      </c>
      <c r="BI34" s="128">
        <v>0.16700000000000001</v>
      </c>
      <c r="BJ34" s="129">
        <v>0.128</v>
      </c>
    </row>
    <row r="35" spans="2:62" ht="15.6" x14ac:dyDescent="0.35">
      <c r="B35" s="12" t="s">
        <v>359</v>
      </c>
      <c r="F35" t="s">
        <v>364</v>
      </c>
      <c r="G35" s="142">
        <v>2</v>
      </c>
      <c r="H35" s="142">
        <v>2</v>
      </c>
      <c r="I35" s="74"/>
      <c r="J35" t="s">
        <v>449</v>
      </c>
      <c r="O35" s="14"/>
      <c r="AK35" t="s">
        <v>57</v>
      </c>
      <c r="AL35" t="s">
        <v>194</v>
      </c>
      <c r="BC35" s="4" t="s">
        <v>438</v>
      </c>
      <c r="BD35" s="5" t="s">
        <v>313</v>
      </c>
      <c r="BF35" s="6" t="s">
        <v>392</v>
      </c>
      <c r="BG35" s="130">
        <v>0.72399999999999998</v>
      </c>
      <c r="BH35" s="130">
        <v>0.69599999999999995</v>
      </c>
      <c r="BI35" s="130">
        <v>0.61399999999999999</v>
      </c>
      <c r="BJ35" s="131">
        <v>0.76300000000000001</v>
      </c>
    </row>
    <row r="36" spans="2:62" ht="15.6" x14ac:dyDescent="0.35">
      <c r="B36" s="12" t="s">
        <v>361</v>
      </c>
      <c r="F36" t="s">
        <v>365</v>
      </c>
      <c r="G36" s="99">
        <v>2</v>
      </c>
      <c r="H36" s="99">
        <v>2</v>
      </c>
      <c r="I36" s="74"/>
      <c r="J36" t="s">
        <v>448</v>
      </c>
      <c r="O36" s="14" t="s">
        <v>451</v>
      </c>
      <c r="BC36" s="4" t="s">
        <v>439</v>
      </c>
      <c r="BD36" s="5" t="s">
        <v>314</v>
      </c>
    </row>
    <row r="37" spans="2:62" ht="16.2" thickBot="1" x14ac:dyDescent="0.4">
      <c r="B37" s="15" t="s">
        <v>362</v>
      </c>
      <c r="C37" s="17"/>
      <c r="D37" s="17"/>
      <c r="E37" s="17"/>
      <c r="F37" s="18" t="s">
        <v>366</v>
      </c>
      <c r="G37" s="136">
        <v>2</v>
      </c>
      <c r="H37" s="136">
        <v>2</v>
      </c>
      <c r="I37" s="92"/>
      <c r="J37" s="17" t="s">
        <v>452</v>
      </c>
      <c r="K37" s="17"/>
      <c r="L37" s="17"/>
      <c r="M37" s="17"/>
      <c r="N37" s="17"/>
      <c r="O37" s="19"/>
      <c r="AI37">
        <f>IF(G17=$AL17,1,0)</f>
        <v>0</v>
      </c>
      <c r="AJ37">
        <f>IF(H17=$AL17,1,0)</f>
        <v>0</v>
      </c>
      <c r="BC37" s="4" t="s">
        <v>440</v>
      </c>
      <c r="BD37" s="5" t="s">
        <v>313</v>
      </c>
    </row>
    <row r="38" spans="2:62" ht="13.8" thickBot="1" x14ac:dyDescent="0.3">
      <c r="BC38" s="4" t="s">
        <v>441</v>
      </c>
      <c r="BD38" s="5" t="s">
        <v>311</v>
      </c>
    </row>
    <row r="39" spans="2:62" x14ac:dyDescent="0.25">
      <c r="B39" s="46" t="s">
        <v>102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8"/>
      <c r="BC39" s="4" t="s">
        <v>442</v>
      </c>
      <c r="BD39" s="5" t="s">
        <v>311</v>
      </c>
    </row>
    <row r="40" spans="2:62" x14ac:dyDescent="0.25">
      <c r="B40" s="12" t="s">
        <v>103</v>
      </c>
      <c r="G40" s="100">
        <v>2</v>
      </c>
      <c r="H40" s="65" t="str">
        <f>IF(G40=0,"Enter a nonzero value to conduct an empirical Bayes analysis.","Enter zero to analyze two segments or scenarios for a segment.")</f>
        <v>Enter zero to analyze two segments or scenarios for a segment.</v>
      </c>
      <c r="L40" s="57"/>
      <c r="M40" s="62" t="s">
        <v>171</v>
      </c>
      <c r="N40" s="59" t="s">
        <v>172</v>
      </c>
      <c r="O40" s="60" t="s">
        <v>173</v>
      </c>
      <c r="BC40" s="4" t="s">
        <v>443</v>
      </c>
      <c r="BD40" s="5" t="s">
        <v>311</v>
      </c>
    </row>
    <row r="41" spans="2:62" x14ac:dyDescent="0.25">
      <c r="B41" s="12" t="s">
        <v>396</v>
      </c>
      <c r="G41" s="107">
        <v>1</v>
      </c>
      <c r="L41" s="57"/>
      <c r="M41" s="63">
        <f>IF(AI41=1,1/(1+G10*O48),"")</f>
        <v>0.40139402404025204</v>
      </c>
      <c r="N41" s="10">
        <f>IF(AI41=1,H48*O10,"")</f>
        <v>1.2134398766517092</v>
      </c>
      <c r="O41" s="21">
        <f>IF(AI41=1,N41*M41+G41/G$40*(1-M41),"")</f>
        <v>0.78637050300001055</v>
      </c>
      <c r="AI41">
        <f>IF(G$40&gt;0,1,0)</f>
        <v>1</v>
      </c>
      <c r="BC41" s="6" t="s">
        <v>444</v>
      </c>
      <c r="BD41" s="77" t="s">
        <v>313</v>
      </c>
    </row>
    <row r="42" spans="2:62" ht="13.8" thickBot="1" x14ac:dyDescent="0.3">
      <c r="B42" s="15" t="s">
        <v>397</v>
      </c>
      <c r="C42" s="17"/>
      <c r="D42" s="17"/>
      <c r="E42" s="17"/>
      <c r="F42" s="17"/>
      <c r="G42" s="110">
        <v>1</v>
      </c>
      <c r="H42" s="17"/>
      <c r="I42" s="17"/>
      <c r="J42" s="17"/>
      <c r="K42" s="17"/>
      <c r="L42" s="58"/>
      <c r="M42" s="64">
        <f>IF(AI42=1,1/(1+G11*O49),"")</f>
        <v>0.8408671018925018</v>
      </c>
      <c r="N42" s="23">
        <f>IF(AI42=1,H49*O11,"")</f>
        <v>0.18373647747657937</v>
      </c>
      <c r="O42" s="24">
        <f>IF(AI42=1,N42*M42+G42/G$40*(1-M42),"")</f>
        <v>0.23406440838141732</v>
      </c>
      <c r="AI42">
        <f>IF(G$40&gt;0,1,0)</f>
        <v>1</v>
      </c>
    </row>
    <row r="43" spans="2:62" ht="13.8" thickBot="1" x14ac:dyDescent="0.3">
      <c r="L43" s="57"/>
      <c r="M43" s="61"/>
      <c r="N43" s="10"/>
      <c r="O43" s="10"/>
    </row>
    <row r="44" spans="2:62" ht="13.8" thickBot="1" x14ac:dyDescent="0.3">
      <c r="B44" s="49" t="s">
        <v>304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2:62" ht="13.8" thickBot="1" x14ac:dyDescent="0.3"/>
    <row r="46" spans="2:62" x14ac:dyDescent="0.25">
      <c r="B46" s="46" t="s">
        <v>108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8"/>
    </row>
    <row r="47" spans="2:62" x14ac:dyDescent="0.25">
      <c r="B47" s="55"/>
      <c r="C47" s="2"/>
      <c r="D47" s="2"/>
      <c r="E47" s="2"/>
      <c r="F47" s="2"/>
      <c r="G47" s="2"/>
      <c r="H47" s="2"/>
      <c r="I47" s="1"/>
      <c r="J47" s="2"/>
      <c r="K47" s="2"/>
      <c r="L47" s="2"/>
      <c r="M47" s="2"/>
      <c r="N47" s="75" t="s">
        <v>186</v>
      </c>
      <c r="O47" s="138" t="s">
        <v>47</v>
      </c>
      <c r="AU47" s="57" t="s">
        <v>344</v>
      </c>
      <c r="AV47" s="57" t="s">
        <v>345</v>
      </c>
      <c r="AW47" s="57" t="s">
        <v>75</v>
      </c>
      <c r="AX47" s="57"/>
      <c r="AY47" t="s">
        <v>315</v>
      </c>
      <c r="BC47" s="57" t="s">
        <v>344</v>
      </c>
      <c r="BD47" s="57" t="s">
        <v>345</v>
      </c>
      <c r="BE47" s="57" t="s">
        <v>75</v>
      </c>
      <c r="BF47" s="57"/>
      <c r="BG47" t="s">
        <v>315</v>
      </c>
    </row>
    <row r="48" spans="2:62" x14ac:dyDescent="0.25">
      <c r="B48" s="12"/>
      <c r="F48" s="8" t="s">
        <v>388</v>
      </c>
      <c r="G48" s="10">
        <f>G$20*EXP($AU48+$AV48*LN(G$23))*$AW48*$AY48</f>
        <v>0.91161201602762987</v>
      </c>
      <c r="H48" s="10">
        <f>H$20*EXP($BC48+$BD48*LN(H$23))*$BE48*$BG48</f>
        <v>0.91161201602762987</v>
      </c>
      <c r="I48" s="4"/>
      <c r="N48" t="s">
        <v>55</v>
      </c>
      <c r="O48" s="139">
        <f>VLOOKUP($AC48,$BF$15:$BJ$19,MATCH(O$47,$BF$15:$BJ$15,0),FALSE)</f>
        <v>1.2290000000000001</v>
      </c>
      <c r="AC48" t="str">
        <f>$N48&amp;","&amp;G$17</f>
        <v>MV,One-way</v>
      </c>
      <c r="AD48" t="str">
        <f>$N48&amp;","&amp;H$17</f>
        <v>MV,One-way</v>
      </c>
      <c r="AU48" s="57">
        <f t="shared" ref="AU48:AW49" si="1">VLOOKUP($AC48,$BF$15:$BJ$19,MATCH(AU$12,$BF$15:$BJ$15,0),FALSE)</f>
        <v>-6.024</v>
      </c>
      <c r="AV48" s="57">
        <f t="shared" si="1"/>
        <v>0.64400000000000002</v>
      </c>
      <c r="AW48" s="57">
        <f t="shared" si="1"/>
        <v>1</v>
      </c>
      <c r="AX48" s="57"/>
      <c r="AY48" s="57">
        <f>IF(G$19=$BC$16,1,VLOOKUP($AC48,$BF$23:$BJ$27,MATCH(VLOOKUP(G$19,$BC$16:$BD$41,2,FALSE),$BF$23:$BJ$23,0),FALSE))</f>
        <v>1</v>
      </c>
      <c r="BC48" s="57">
        <f t="shared" ref="BC48:BE49" si="2">VLOOKUP($AD48,$BF$15:$BJ$19,MATCH(BC$12,$BF$15:$BJ$15,0),FALSE)</f>
        <v>-6.024</v>
      </c>
      <c r="BD48" s="57">
        <f t="shared" si="2"/>
        <v>0.64400000000000002</v>
      </c>
      <c r="BE48" s="57">
        <f t="shared" si="2"/>
        <v>1</v>
      </c>
      <c r="BF48" s="57"/>
      <c r="BG48" s="57">
        <f>IF(H$19=$BC$16,1,VLOOKUP($AD48,$BF$23:$BJ$27,MATCH(VLOOKUP(H$19,$BC$16:$BD$41,2,FALSE),$BF$23:$BJ$23,0),FALSE))</f>
        <v>1</v>
      </c>
    </row>
    <row r="49" spans="2:59" ht="13.8" thickBot="1" x14ac:dyDescent="0.3">
      <c r="B49" s="15"/>
      <c r="C49" s="17"/>
      <c r="D49" s="17"/>
      <c r="E49" s="17"/>
      <c r="F49" s="22" t="s">
        <v>389</v>
      </c>
      <c r="G49" s="23">
        <f>G$20*EXP($AU49+$AV49*LN(G$23))*$AW49*$AY49</f>
        <v>0.52191385390004785</v>
      </c>
      <c r="H49" s="23">
        <f>H$20*EXP($BC49+$BD49*LN(H$23))*$BE49*$BG49</f>
        <v>0.52191385390004785</v>
      </c>
      <c r="I49" s="16"/>
      <c r="J49" s="17"/>
      <c r="K49" s="17"/>
      <c r="L49" s="17"/>
      <c r="M49" s="17"/>
      <c r="N49" s="17" t="s">
        <v>56</v>
      </c>
      <c r="O49" s="140">
        <f>VLOOKUP($AC49,$BF$15:$BJ$19,MATCH(O$47,$BF$15:$BJ$15,0),FALSE)</f>
        <v>1.03</v>
      </c>
      <c r="AC49" t="str">
        <f>$N49&amp;","&amp;G$17</f>
        <v>SV,One-way</v>
      </c>
      <c r="AD49" t="str">
        <f>$N49&amp;","&amp;H$17</f>
        <v>SV,One-way</v>
      </c>
      <c r="AU49" s="57">
        <f t="shared" si="1"/>
        <v>-2.7410000000000001</v>
      </c>
      <c r="AV49" s="57">
        <f t="shared" si="1"/>
        <v>0.22700000000000001</v>
      </c>
      <c r="AW49" s="57">
        <f t="shared" si="1"/>
        <v>1</v>
      </c>
      <c r="AX49" s="57"/>
      <c r="AY49" s="57">
        <f>IF(G$19=$BC$16,1,VLOOKUP($AC49,$BF$23:$BJ$27,MATCH(VLOOKUP(G$19,$BC$16:$BD$41,2,FALSE),$BF$23:$BJ$23,0),FALSE))</f>
        <v>1</v>
      </c>
      <c r="BC49" s="57">
        <f t="shared" si="2"/>
        <v>-2.7410000000000001</v>
      </c>
      <c r="BD49" s="57">
        <f t="shared" si="2"/>
        <v>0.22700000000000001</v>
      </c>
      <c r="BE49" s="57">
        <f t="shared" si="2"/>
        <v>1</v>
      </c>
      <c r="BF49" s="57"/>
      <c r="BG49" s="57">
        <f>IF(H$19=$BC$16,1,VLOOKUP($AD49,$BF$23:$BJ$27,MATCH(VLOOKUP(H$19,$BC$16:$BD$41,2,FALSE),$BF$23:$BJ$23,0),FALSE))</f>
        <v>1</v>
      </c>
    </row>
    <row r="50" spans="2:59" ht="13.8" thickBot="1" x14ac:dyDescent="0.3"/>
    <row r="51" spans="2:59" x14ac:dyDescent="0.25">
      <c r="B51" s="46" t="s">
        <v>28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8"/>
    </row>
    <row r="52" spans="2:59" x14ac:dyDescent="0.25">
      <c r="B52" s="52" t="s">
        <v>371</v>
      </c>
      <c r="H52" s="3"/>
      <c r="I52" s="145" t="s">
        <v>373</v>
      </c>
      <c r="O52" s="14"/>
      <c r="AT52" t="s">
        <v>446</v>
      </c>
      <c r="BB52" t="s">
        <v>447</v>
      </c>
    </row>
    <row r="53" spans="2:59" x14ac:dyDescent="0.25">
      <c r="B53" s="12">
        <v>99</v>
      </c>
      <c r="C53" t="s">
        <v>338</v>
      </c>
      <c r="G53" s="10">
        <f>EXP($AU53*(G30-$AT53))</f>
        <v>0.90664890375392093</v>
      </c>
      <c r="H53" s="10">
        <f>EXP($AU53*(H30-$AT53))</f>
        <v>0.90664890375392093</v>
      </c>
      <c r="I53" s="4">
        <v>101</v>
      </c>
      <c r="J53" t="s">
        <v>127</v>
      </c>
      <c r="N53" s="10">
        <f>EXP($BC53*(G$75-$BB53))</f>
        <v>1</v>
      </c>
      <c r="O53" s="21">
        <f>EXP($BC53*(H$75-$BB53))</f>
        <v>1</v>
      </c>
      <c r="AT53">
        <v>4</v>
      </c>
      <c r="AU53">
        <v>-4.9000000000000002E-2</v>
      </c>
      <c r="BB53">
        <v>4</v>
      </c>
      <c r="BC53">
        <v>-0.11020000000000001</v>
      </c>
    </row>
    <row r="54" spans="2:59" x14ac:dyDescent="0.25">
      <c r="B54" s="12">
        <v>100</v>
      </c>
      <c r="C54" t="s">
        <v>339</v>
      </c>
      <c r="G54" s="10">
        <f>EXP($AU54*(G31-$AT54))</f>
        <v>1.1029627851085078</v>
      </c>
      <c r="H54" s="10">
        <f>EXP($AU54*(H31-$AT54))</f>
        <v>1.1029627851085078</v>
      </c>
      <c r="I54" s="4">
        <v>104</v>
      </c>
      <c r="J54" t="s">
        <v>375</v>
      </c>
      <c r="N54" s="10">
        <f t="shared" ref="N54:O57" si="3">EXP($BC54*(G34/G$20))</f>
        <v>1.0325175053051183</v>
      </c>
      <c r="O54" s="21">
        <f t="shared" si="3"/>
        <v>1.0325175053051183</v>
      </c>
      <c r="AT54">
        <v>4</v>
      </c>
      <c r="AU54">
        <v>-4.9000000000000002E-2</v>
      </c>
      <c r="BC54">
        <v>1.6E-2</v>
      </c>
    </row>
    <row r="55" spans="2:59" x14ac:dyDescent="0.25">
      <c r="B55" s="12">
        <v>102</v>
      </c>
      <c r="C55" t="s">
        <v>375</v>
      </c>
      <c r="G55" s="20">
        <f t="shared" ref="G55:H57" si="4">EXP($AU55*(G34/G$20))</f>
        <v>1.0428944787507632</v>
      </c>
      <c r="H55" s="10">
        <f t="shared" si="4"/>
        <v>1.0428944787507632</v>
      </c>
      <c r="I55" s="4">
        <v>105</v>
      </c>
      <c r="J55" t="s">
        <v>376</v>
      </c>
      <c r="N55" s="10">
        <f t="shared" si="3"/>
        <v>1.0325175053051183</v>
      </c>
      <c r="O55" s="21">
        <f t="shared" si="3"/>
        <v>1.0325175053051183</v>
      </c>
      <c r="AU55">
        <v>2.1000000000000001E-2</v>
      </c>
      <c r="BC55">
        <v>1.6E-2</v>
      </c>
    </row>
    <row r="56" spans="2:59" x14ac:dyDescent="0.25">
      <c r="B56" s="12">
        <v>103</v>
      </c>
      <c r="C56" t="s">
        <v>376</v>
      </c>
      <c r="G56" s="10">
        <f t="shared" si="4"/>
        <v>1.0428944787507632</v>
      </c>
      <c r="H56" s="10">
        <f t="shared" si="4"/>
        <v>1.0428944787507632</v>
      </c>
      <c r="I56" s="4">
        <v>107</v>
      </c>
      <c r="J56" t="s">
        <v>377</v>
      </c>
      <c r="N56" s="10">
        <f t="shared" si="3"/>
        <v>1.6652911949458864</v>
      </c>
      <c r="O56" s="21">
        <f t="shared" si="3"/>
        <v>1.6652911949458864</v>
      </c>
      <c r="AU56">
        <v>2.1000000000000001E-2</v>
      </c>
      <c r="BC56">
        <v>0.255</v>
      </c>
    </row>
    <row r="57" spans="2:59" x14ac:dyDescent="0.25">
      <c r="B57" s="12">
        <v>106</v>
      </c>
      <c r="C57" t="s">
        <v>377</v>
      </c>
      <c r="G57" s="10">
        <f t="shared" si="4"/>
        <v>1.2238480081113581</v>
      </c>
      <c r="H57" s="10">
        <f t="shared" si="4"/>
        <v>1.2238480081113581</v>
      </c>
      <c r="I57" s="4">
        <v>108</v>
      </c>
      <c r="J57" t="s">
        <v>378</v>
      </c>
      <c r="N57" s="10">
        <f t="shared" si="3"/>
        <v>1.2092495976572515</v>
      </c>
      <c r="O57" s="21">
        <f t="shared" si="3"/>
        <v>1.2092495976572515</v>
      </c>
      <c r="AU57">
        <v>0.10100000000000001</v>
      </c>
      <c r="BC57">
        <v>9.5000000000000001E-2</v>
      </c>
    </row>
    <row r="58" spans="2:59" x14ac:dyDescent="0.25">
      <c r="B58" s="12">
        <v>111</v>
      </c>
      <c r="C58" t="s">
        <v>381</v>
      </c>
      <c r="G58" s="10">
        <f>EXP($AU58*G$76)</f>
        <v>1</v>
      </c>
      <c r="H58" s="10">
        <f>EXP($AU58*H$76)</f>
        <v>1</v>
      </c>
      <c r="I58" s="4">
        <v>110</v>
      </c>
      <c r="J58" t="s">
        <v>380</v>
      </c>
      <c r="N58" s="10">
        <f>EXP($BC58*(G$27/G$20))</f>
        <v>1</v>
      </c>
      <c r="O58" s="21">
        <f>EXP($BC58*(H$27/H$20))</f>
        <v>1</v>
      </c>
      <c r="AU58">
        <v>-0.47599999999999998</v>
      </c>
      <c r="BC58">
        <v>2.7E-2</v>
      </c>
    </row>
    <row r="59" spans="2:59" x14ac:dyDescent="0.25">
      <c r="B59" s="54"/>
      <c r="C59" s="7"/>
      <c r="D59" s="7"/>
      <c r="E59" s="7"/>
      <c r="F59" s="7"/>
      <c r="G59" s="11"/>
      <c r="H59" s="11"/>
      <c r="I59" s="6">
        <v>111</v>
      </c>
      <c r="J59" s="7" t="s">
        <v>381</v>
      </c>
      <c r="K59" s="7"/>
      <c r="L59" s="7"/>
      <c r="M59" s="7"/>
      <c r="N59" s="11">
        <f>EXP($BC59*G$76)</f>
        <v>1</v>
      </c>
      <c r="O59" s="151">
        <f>EXP($BC59*H$76)</f>
        <v>1</v>
      </c>
      <c r="BC59">
        <v>-0.72</v>
      </c>
    </row>
    <row r="60" spans="2:59" x14ac:dyDescent="0.25">
      <c r="B60" s="52" t="s">
        <v>372</v>
      </c>
      <c r="H60" s="3"/>
      <c r="I60" s="145" t="s">
        <v>374</v>
      </c>
      <c r="O60" s="14"/>
    </row>
    <row r="61" spans="2:59" x14ac:dyDescent="0.25">
      <c r="B61" s="12">
        <v>99</v>
      </c>
      <c r="C61" t="s">
        <v>338</v>
      </c>
      <c r="G61" s="10"/>
      <c r="H61" s="10"/>
      <c r="I61" s="4">
        <v>101</v>
      </c>
      <c r="J61" t="s">
        <v>127</v>
      </c>
      <c r="N61" s="10">
        <f>EXP($BC61*(G$75-$BB61))</f>
        <v>1</v>
      </c>
      <c r="O61" s="21">
        <f>EXP($BC61*(H$75-$BB61))</f>
        <v>1</v>
      </c>
      <c r="AT61">
        <v>4</v>
      </c>
      <c r="AU61">
        <v>-4.9000000000000002E-2</v>
      </c>
      <c r="BB61">
        <v>4</v>
      </c>
      <c r="BC61">
        <v>-0.11020000000000001</v>
      </c>
    </row>
    <row r="62" spans="2:59" x14ac:dyDescent="0.25">
      <c r="B62" s="12">
        <v>100</v>
      </c>
      <c r="C62" t="s">
        <v>339</v>
      </c>
      <c r="G62" s="10">
        <f>EXP($AU62*(G$30-$AT62))</f>
        <v>0.90664890375392093</v>
      </c>
      <c r="H62" s="10">
        <f>EXP($AU62*(H$30-$AT62))</f>
        <v>0.90664890375392093</v>
      </c>
      <c r="I62" s="4">
        <v>110</v>
      </c>
      <c r="J62" t="s">
        <v>380</v>
      </c>
      <c r="N62" s="10">
        <f>EXP($BC62*(G$27/G$20))</f>
        <v>1</v>
      </c>
      <c r="O62" s="21">
        <f>EXP($BC62*(H$27/H$20))</f>
        <v>1</v>
      </c>
      <c r="AT62">
        <v>4</v>
      </c>
      <c r="AU62">
        <v>-4.9000000000000002E-2</v>
      </c>
      <c r="BC62">
        <v>2.7E-2</v>
      </c>
    </row>
    <row r="63" spans="2:59" x14ac:dyDescent="0.25">
      <c r="B63" s="12">
        <v>109</v>
      </c>
      <c r="C63" t="s">
        <v>379</v>
      </c>
      <c r="G63" s="10">
        <f>EXP($AU63*(G$31-$AT63))</f>
        <v>0.388291085605873</v>
      </c>
      <c r="H63" s="10">
        <f>EXP($AU63*(H$31-$AT63))</f>
        <v>0.388291085605873</v>
      </c>
      <c r="I63" s="4">
        <v>111</v>
      </c>
      <c r="J63" t="s">
        <v>381</v>
      </c>
      <c r="N63" s="10">
        <f>EXP($BC63*G$76)</f>
        <v>1</v>
      </c>
      <c r="O63" s="21">
        <f>EXP($BC63*H$76)</f>
        <v>1</v>
      </c>
      <c r="AT63">
        <v>45</v>
      </c>
      <c r="AU63">
        <v>2.1999999999999999E-2</v>
      </c>
      <c r="BC63">
        <v>-0.72</v>
      </c>
    </row>
    <row r="64" spans="2:59" ht="13.8" thickBot="1" x14ac:dyDescent="0.3">
      <c r="B64" s="15">
        <v>111</v>
      </c>
      <c r="C64" s="17" t="s">
        <v>381</v>
      </c>
      <c r="D64" s="17"/>
      <c r="E64" s="17"/>
      <c r="F64" s="17"/>
      <c r="G64" s="23">
        <f>EXP($AU64*G$76)</f>
        <v>1</v>
      </c>
      <c r="H64" s="23">
        <f>EXP($AU64*H$76)</f>
        <v>1</v>
      </c>
      <c r="I64" s="16"/>
      <c r="J64" s="17"/>
      <c r="K64" s="17"/>
      <c r="L64" s="17"/>
      <c r="M64" s="17"/>
      <c r="N64" s="17"/>
      <c r="O64" s="19"/>
      <c r="AU64">
        <v>-0.47599999999999998</v>
      </c>
    </row>
    <row r="65" spans="2:15" ht="13.8" thickBot="1" x14ac:dyDescent="0.3">
      <c r="G65" s="10"/>
      <c r="H65" s="10"/>
    </row>
    <row r="66" spans="2:15" x14ac:dyDescent="0.25">
      <c r="B66" s="46" t="s">
        <v>390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8"/>
    </row>
    <row r="67" spans="2:15" x14ac:dyDescent="0.25">
      <c r="B67" s="12"/>
      <c r="C67" s="2"/>
      <c r="D67" s="2"/>
      <c r="F67" s="123" t="s">
        <v>170</v>
      </c>
      <c r="G67" s="10"/>
      <c r="I67" s="1"/>
      <c r="M67" s="148" t="s">
        <v>169</v>
      </c>
      <c r="O67" s="14"/>
    </row>
    <row r="68" spans="2:15" x14ac:dyDescent="0.25">
      <c r="B68" s="12"/>
      <c r="F68" s="8" t="s">
        <v>305</v>
      </c>
      <c r="G68" s="121">
        <f>G$12*N68</f>
        <v>5.5887054165131541E-3</v>
      </c>
      <c r="H68" s="121">
        <f t="shared" ref="H68:H72" si="5">H$12*O68</f>
        <v>4.0817396455257119E-3</v>
      </c>
      <c r="M68" s="8" t="s">
        <v>69</v>
      </c>
      <c r="N68">
        <f t="shared" ref="N68:O72" si="6">VLOOKUP($M68,$BF$30:$BJ$35,MATCH(G$17&amp;","&amp;G$18,$BF$30:$BJ$30,0),FALSE)</f>
        <v>4.0000000000000001E-3</v>
      </c>
      <c r="O68" s="14">
        <f t="shared" si="6"/>
        <v>4.0000000000000001E-3</v>
      </c>
    </row>
    <row r="69" spans="2:15" x14ac:dyDescent="0.25">
      <c r="B69" s="12"/>
      <c r="F69" s="8" t="s">
        <v>306</v>
      </c>
      <c r="G69" s="121">
        <f t="shared" ref="G69:G72" si="7">G$12*N69</f>
        <v>1.8163292603667749E-2</v>
      </c>
      <c r="H69" s="121">
        <f t="shared" si="5"/>
        <v>1.3265653847958563E-2</v>
      </c>
      <c r="M69" s="8" t="s">
        <v>70</v>
      </c>
      <c r="N69">
        <f t="shared" si="6"/>
        <v>1.2999999999999999E-2</v>
      </c>
      <c r="O69" s="14">
        <f t="shared" si="6"/>
        <v>1.2999999999999999E-2</v>
      </c>
    </row>
    <row r="70" spans="2:15" x14ac:dyDescent="0.25">
      <c r="B70" s="12"/>
      <c r="F70" s="8" t="s">
        <v>307</v>
      </c>
      <c r="G70" s="121">
        <f t="shared" si="7"/>
        <v>0.14530634082934199</v>
      </c>
      <c r="H70" s="121">
        <f t="shared" si="5"/>
        <v>0.10612523078366851</v>
      </c>
      <c r="M70" s="8" t="s">
        <v>71</v>
      </c>
      <c r="N70">
        <f t="shared" si="6"/>
        <v>0.104</v>
      </c>
      <c r="O70" s="14">
        <f t="shared" si="6"/>
        <v>0.104</v>
      </c>
    </row>
    <row r="71" spans="2:15" x14ac:dyDescent="0.25">
      <c r="B71" s="12"/>
      <c r="F71" s="8" t="s">
        <v>308</v>
      </c>
      <c r="G71" s="121">
        <f t="shared" si="7"/>
        <v>0.25428609645134848</v>
      </c>
      <c r="H71" s="121">
        <f t="shared" si="5"/>
        <v>0.18571915387141988</v>
      </c>
      <c r="M71" s="8" t="s">
        <v>46</v>
      </c>
      <c r="N71">
        <f t="shared" si="6"/>
        <v>0.182</v>
      </c>
      <c r="O71" s="14">
        <f t="shared" si="6"/>
        <v>0.182</v>
      </c>
    </row>
    <row r="72" spans="2:15" ht="13.8" thickBot="1" x14ac:dyDescent="0.3">
      <c r="B72" s="15"/>
      <c r="C72" s="17"/>
      <c r="D72" s="17"/>
      <c r="E72" s="17"/>
      <c r="F72" s="22" t="s">
        <v>391</v>
      </c>
      <c r="G72" s="122">
        <f t="shared" si="7"/>
        <v>0.97243474247328865</v>
      </c>
      <c r="H72" s="122">
        <f t="shared" si="5"/>
        <v>0.71022269832147378</v>
      </c>
      <c r="I72" s="17"/>
      <c r="J72" s="17"/>
      <c r="K72" s="17"/>
      <c r="L72" s="17"/>
      <c r="M72" s="22" t="s">
        <v>392</v>
      </c>
      <c r="N72" s="17">
        <f t="shared" si="6"/>
        <v>0.69599999999999995</v>
      </c>
      <c r="O72" s="19">
        <f t="shared" si="6"/>
        <v>0.69599999999999995</v>
      </c>
    </row>
    <row r="73" spans="2:15" ht="13.8" thickBot="1" x14ac:dyDescent="0.3"/>
    <row r="74" spans="2:15" x14ac:dyDescent="0.25">
      <c r="B74" s="46" t="s">
        <v>77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8"/>
    </row>
    <row r="75" spans="2:15" ht="15.6" x14ac:dyDescent="0.35">
      <c r="B75" s="55" t="s">
        <v>332</v>
      </c>
      <c r="C75" s="2" t="s">
        <v>367</v>
      </c>
      <c r="D75" s="2"/>
      <c r="E75" s="2"/>
      <c r="F75" s="2"/>
      <c r="G75" s="2">
        <f>AVERAGE(G30:G31)</f>
        <v>4</v>
      </c>
      <c r="H75" s="3">
        <f>AVERAGE(H30:H31)</f>
        <v>4</v>
      </c>
      <c r="I75" s="1"/>
      <c r="J75" s="2"/>
      <c r="K75" s="2"/>
      <c r="L75" s="2"/>
      <c r="M75" s="2"/>
      <c r="N75" s="2"/>
      <c r="O75" s="13"/>
    </row>
    <row r="76" spans="2:15" ht="16.2" thickBot="1" x14ac:dyDescent="0.4">
      <c r="B76" s="15" t="s">
        <v>370</v>
      </c>
      <c r="C76" s="17" t="s">
        <v>382</v>
      </c>
      <c r="D76" s="17"/>
      <c r="E76" s="17"/>
      <c r="F76" s="17"/>
      <c r="G76" s="17">
        <f>IF(G18=$AL18,1,0)</f>
        <v>0</v>
      </c>
      <c r="H76" s="18">
        <f>IF(H18=$AL18,1,0)</f>
        <v>0</v>
      </c>
      <c r="I76" s="16"/>
      <c r="J76" s="17"/>
      <c r="K76" s="17"/>
      <c r="L76" s="17"/>
      <c r="M76" s="17"/>
      <c r="N76" s="17"/>
      <c r="O76" s="19"/>
    </row>
  </sheetData>
  <sheetProtection algorithmName="SHA-512" hashValue="twI9rwxlzahMlSOIwwDLhujP73/AacMblv95mhz6p8HDYhTjUtFk4iqpi2osMzzzXtYpyEpLJm10gQAYgybTkw==" saltValue="szubwwFIjicn31C7Y5lPlg==" spinCount="100000" sheet="1" objects="1" scenarios="1"/>
  <conditionalFormatting sqref="G41:G42">
    <cfRule type="expression" dxfId="3" priority="7">
      <formula>$AI41=0</formula>
    </cfRule>
    <cfRule type="expression" dxfId="2" priority="8">
      <formula>$AI41=1</formula>
    </cfRule>
  </conditionalFormatting>
  <conditionalFormatting sqref="G37:H37">
    <cfRule type="expression" dxfId="1" priority="1">
      <formula>AI37=0</formula>
    </cfRule>
    <cfRule type="expression" dxfId="0" priority="2">
      <formula>AI37=1</formula>
    </cfRule>
  </conditionalFormatting>
  <dataValidations count="6">
    <dataValidation type="decimal" operator="greaterThanOrEqual" allowBlank="1" showInputMessage="1" showErrorMessage="1" error="Enter a value greater than or equal to zero." sqref="G40" xr:uid="{E0C219F2-FE12-4B2E-9504-21B9B829739C}">
      <formula1>0</formula1>
    </dataValidation>
    <dataValidation type="decimal" operator="greaterThan" allowBlank="1" showInputMessage="1" showErrorMessage="1" error="Enter a positive value greater than zero." sqref="G20:H20" xr:uid="{58224780-FAEB-47B5-887B-7F4724BA8073}">
      <formula1>0</formula1>
    </dataValidation>
    <dataValidation type="whole" operator="greaterThanOrEqual" allowBlank="1" showInputMessage="1" showErrorMessage="1" error="Enter an integer greater than or equal to zero." sqref="G27:H27 G34:H37 G41:G42" xr:uid="{4AE16D0F-EE55-4095-A49E-BB6228A40FC3}">
      <formula1>0</formula1>
    </dataValidation>
    <dataValidation type="list" allowBlank="1" showInputMessage="1" showErrorMessage="1" error="Choose a value from the menu options." sqref="G17:H18" xr:uid="{0ED8E290-E32F-4743-A2CC-A2AE5145A4F9}">
      <formula1>$AK17:$AL17</formula1>
    </dataValidation>
    <dataValidation type="list" allowBlank="1" showInputMessage="1" showErrorMessage="1" error="Choose a value from the menu options." sqref="G19:H19" xr:uid="{DC62DB6B-B7F7-4D0D-83FC-A88E6FAE4E1D}">
      <formula1>$BC$16:$BC$41</formula1>
    </dataValidation>
    <dataValidation type="list" allowBlank="1" showInputMessage="1" showErrorMessage="1" error="Choose a value from the menu options." sqref="G24:H24" xr:uid="{D7AA1B31-AC52-4BF7-9A70-6915EE51A961}">
      <formula1>$AK$24:$AS$24</formula1>
    </dataValidation>
  </dataValidations>
  <hyperlinks>
    <hyperlink ref="J24" r:id="rId1" xr:uid="{BC814450-B56C-490F-A6CD-A35171764D2E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Freeways</vt:lpstr>
      <vt:lpstr>Ramps</vt:lpstr>
      <vt:lpstr>Frontage Roads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Pratt, Mike</dc:creator>
  <cp:lastModifiedBy>Pratt, Mike</cp:lastModifiedBy>
  <dcterms:created xsi:type="dcterms:W3CDTF">2022-06-29T19:11:01Z</dcterms:created>
  <dcterms:modified xsi:type="dcterms:W3CDTF">2023-09-11T03:06:58Z</dcterms:modified>
</cp:coreProperties>
</file>