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C:\Users\d-herring\Desktop\"/>
    </mc:Choice>
  </mc:AlternateContent>
  <xr:revisionPtr revIDLastSave="0" documentId="8_{3F4CD1A2-8DA1-4C56-B0D9-0777E630BBD0}" xr6:coauthVersionLast="47" xr6:coauthVersionMax="47" xr10:uidLastSave="{00000000-0000-0000-0000-000000000000}"/>
  <bookViews>
    <workbookView xWindow="1152" yWindow="600" windowWidth="17328" windowHeight="12360" tabRatio="845" xr2:uid="{00000000-000D-0000-FFFF-FFFF00000000}"/>
  </bookViews>
  <sheets>
    <sheet name="Inputs and Results" sheetId="20" r:id="rId1"/>
    <sheet name="BCA Summary" sheetId="30" r:id="rId2"/>
    <sheet name="Discounting" sheetId="13" r:id="rId3"/>
    <sheet name="Benefits" sheetId="15" r:id="rId4"/>
    <sheet name="Travel Impacts" sheetId="18" r:id="rId5"/>
    <sheet name="Safety" sheetId="32" r:id="rId6"/>
    <sheet name="Defaults" sheetId="3" r:id="rId7"/>
    <sheet name="NetworkPerformanceData" sheetId="41" r:id="rId8"/>
    <sheet name="Project Costs" sheetId="39" r:id="rId9"/>
    <sheet name="HCI" sheetId="40" r:id="rId10"/>
  </sheets>
  <definedNames>
    <definedName name="_xlnm._FilterDatabase" localSheetId="8" hidden="1">'Project Costs'!$B$1:$AM$27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1" i="39" l="1"/>
  <c r="AO21" i="39" s="1"/>
  <c r="Q5" i="18" l="1"/>
  <c r="Q4" i="18"/>
  <c r="B31" i="3" l="1"/>
  <c r="Q6" i="18"/>
  <c r="B6" i="18"/>
  <c r="B4" i="32"/>
  <c r="A4" i="32"/>
  <c r="J4" i="32" s="1"/>
  <c r="A5" i="32" l="1"/>
  <c r="J5" i="32" s="1"/>
  <c r="A6" i="32" l="1"/>
  <c r="J6" i="32" s="1"/>
  <c r="A7" i="32" l="1"/>
  <c r="J7" i="32" s="1"/>
  <c r="A8" i="32" l="1"/>
  <c r="J8" i="32" s="1"/>
  <c r="A9" i="32" l="1"/>
  <c r="A10" i="32"/>
  <c r="J9" i="32"/>
  <c r="A11" i="32" l="1"/>
  <c r="J10" i="32"/>
  <c r="A12" i="32" l="1"/>
  <c r="J11" i="32"/>
  <c r="A13" i="32" l="1"/>
  <c r="J12" i="32"/>
  <c r="A14" i="32" l="1"/>
  <c r="J13" i="32"/>
  <c r="A15" i="32" l="1"/>
  <c r="J14" i="32"/>
  <c r="A16" i="32" l="1"/>
  <c r="J15" i="32"/>
  <c r="A17" i="32" l="1"/>
  <c r="J16" i="32"/>
  <c r="A18" i="32" l="1"/>
  <c r="J17" i="32"/>
  <c r="A19" i="32" l="1"/>
  <c r="J18" i="32"/>
  <c r="A20" i="32" l="1"/>
  <c r="J19" i="32"/>
  <c r="B5" i="32"/>
  <c r="A21" i="32" l="1"/>
  <c r="J20" i="32"/>
  <c r="D5" i="32"/>
  <c r="F5" i="32" s="1"/>
  <c r="H5" i="32" s="1"/>
  <c r="L5" i="32" s="1"/>
  <c r="C5" i="32"/>
  <c r="E5" i="32" s="1"/>
  <c r="G5" i="32" s="1"/>
  <c r="K5" i="32" s="1"/>
  <c r="B6" i="32"/>
  <c r="D4" i="32"/>
  <c r="C4" i="32"/>
  <c r="B5" i="18"/>
  <c r="B4" i="18"/>
  <c r="A22" i="32" l="1"/>
  <c r="J21" i="32"/>
  <c r="E4" i="32"/>
  <c r="G4" i="32" s="1"/>
  <c r="K4" i="32" s="1"/>
  <c r="F4" i="32"/>
  <c r="H4" i="32" s="1"/>
  <c r="L4" i="32" s="1"/>
  <c r="B7" i="32"/>
  <c r="C6" i="32"/>
  <c r="E6" i="32" s="1"/>
  <c r="D6" i="32"/>
  <c r="F6" i="32" s="1"/>
  <c r="H6" i="32" s="1"/>
  <c r="L6" i="32" s="1"/>
  <c r="J3" i="18"/>
  <c r="X3" i="18"/>
  <c r="X4" i="18"/>
  <c r="Q11" i="18"/>
  <c r="Q12" i="18" s="1"/>
  <c r="Q13" i="18" s="1"/>
  <c r="Q14" i="18" s="1"/>
  <c r="Q15" i="18" s="1"/>
  <c r="Q16" i="18" s="1"/>
  <c r="Q17" i="18" s="1"/>
  <c r="Q18" i="18" s="1"/>
  <c r="Q19" i="18" s="1"/>
  <c r="Q20" i="18" s="1"/>
  <c r="Q21" i="18" s="1"/>
  <c r="Q22" i="18" s="1"/>
  <c r="Q23" i="18" s="1"/>
  <c r="Q24" i="18" s="1"/>
  <c r="Q25" i="18" s="1"/>
  <c r="Q26" i="18" s="1"/>
  <c r="Q27" i="18" s="1"/>
  <c r="Q28" i="18" s="1"/>
  <c r="Q29" i="18" s="1"/>
  <c r="Q30" i="18" s="1"/>
  <c r="R11" i="18"/>
  <c r="R12" i="18" s="1"/>
  <c r="R13" i="18" s="1"/>
  <c r="R14" i="18" s="1"/>
  <c r="R15" i="18" s="1"/>
  <c r="R16" i="18" s="1"/>
  <c r="R17" i="18" s="1"/>
  <c r="R18" i="18" s="1"/>
  <c r="R19" i="18" s="1"/>
  <c r="R20" i="18" s="1"/>
  <c r="R21" i="18" s="1"/>
  <c r="R22" i="18" s="1"/>
  <c r="R23" i="18" s="1"/>
  <c r="R24" i="18" s="1"/>
  <c r="R25" i="18" s="1"/>
  <c r="R26" i="18" s="1"/>
  <c r="R27" i="18" s="1"/>
  <c r="R28" i="18" s="1"/>
  <c r="R29" i="18" s="1"/>
  <c r="R30" i="18" s="1"/>
  <c r="J4" i="18"/>
  <c r="B11" i="18"/>
  <c r="C11" i="18"/>
  <c r="C12" i="18" s="1"/>
  <c r="C13" i="18" s="1"/>
  <c r="C14" i="18" s="1"/>
  <c r="C15" i="18" s="1"/>
  <c r="C16" i="18" s="1"/>
  <c r="C17" i="18" s="1"/>
  <c r="C18" i="18" s="1"/>
  <c r="C19" i="18" s="1"/>
  <c r="C20" i="18" s="1"/>
  <c r="C21" i="18" s="1"/>
  <c r="C22" i="18" s="1"/>
  <c r="C23" i="18" s="1"/>
  <c r="C24" i="18" s="1"/>
  <c r="C25" i="18" s="1"/>
  <c r="C26" i="18" s="1"/>
  <c r="C27" i="18" s="1"/>
  <c r="C28" i="18" s="1"/>
  <c r="C29" i="18" s="1"/>
  <c r="C30" i="18" s="1"/>
  <c r="B12" i="18" l="1"/>
  <c r="B13" i="18" s="1"/>
  <c r="B14" i="18" s="1"/>
  <c r="B15" i="18" s="1"/>
  <c r="B16" i="18" s="1"/>
  <c r="B17" i="18" s="1"/>
  <c r="B18" i="18" s="1"/>
  <c r="B19" i="18" s="1"/>
  <c r="B20" i="18" s="1"/>
  <c r="B21" i="18" s="1"/>
  <c r="B22" i="18" s="1"/>
  <c r="B23" i="18" s="1"/>
  <c r="B24" i="18" s="1"/>
  <c r="B25" i="18" s="1"/>
  <c r="B26" i="18" s="1"/>
  <c r="B27" i="18" s="1"/>
  <c r="B28" i="18" s="1"/>
  <c r="B29" i="18" s="1"/>
  <c r="B30" i="18" s="1"/>
  <c r="A23" i="32"/>
  <c r="J22" i="32"/>
  <c r="G6" i="32"/>
  <c r="B8" i="32"/>
  <c r="D7" i="32"/>
  <c r="C7" i="32"/>
  <c r="E7" i="32" s="1"/>
  <c r="G7" i="32" s="1"/>
  <c r="K7" i="32" s="1"/>
  <c r="W11" i="18"/>
  <c r="W28" i="18"/>
  <c r="W20" i="18"/>
  <c r="W19" i="18"/>
  <c r="W12" i="18"/>
  <c r="W13" i="18"/>
  <c r="W27" i="18"/>
  <c r="W24" i="18"/>
  <c r="W16" i="18"/>
  <c r="H12" i="18"/>
  <c r="W26" i="18"/>
  <c r="W18" i="18"/>
  <c r="W25" i="18"/>
  <c r="W17" i="18"/>
  <c r="W23" i="18"/>
  <c r="W15" i="18"/>
  <c r="W30" i="18"/>
  <c r="W22" i="18"/>
  <c r="W14" i="18"/>
  <c r="W29" i="18"/>
  <c r="W21" i="18"/>
  <c r="H25" i="18"/>
  <c r="H17" i="18"/>
  <c r="H24" i="18"/>
  <c r="H16" i="18"/>
  <c r="H19" i="18"/>
  <c r="H15" i="18"/>
  <c r="H22" i="18"/>
  <c r="H29" i="18"/>
  <c r="H21" i="18"/>
  <c r="H13" i="18"/>
  <c r="H27" i="18"/>
  <c r="H26" i="18"/>
  <c r="H18" i="18"/>
  <c r="H23" i="18"/>
  <c r="H30" i="18"/>
  <c r="H14" i="18"/>
  <c r="H28" i="18"/>
  <c r="H20" i="18"/>
  <c r="K6" i="32" l="1"/>
  <c r="J23" i="32"/>
  <c r="F7" i="32"/>
  <c r="H7" i="32" s="1"/>
  <c r="L7" i="32" s="1"/>
  <c r="B9" i="32"/>
  <c r="D8" i="32"/>
  <c r="F8" i="32" s="1"/>
  <c r="C8" i="32"/>
  <c r="H8" i="32" l="1"/>
  <c r="E8" i="32"/>
  <c r="G8" i="32" s="1"/>
  <c r="K8" i="32" s="1"/>
  <c r="B10" i="32"/>
  <c r="C9" i="32"/>
  <c r="E9" i="32" s="1"/>
  <c r="G9" i="32" s="1"/>
  <c r="K9" i="32" s="1"/>
  <c r="D9" i="32"/>
  <c r="M4" i="32"/>
  <c r="O6" i="30" s="1"/>
  <c r="L8" i="32" l="1"/>
  <c r="F9" i="32"/>
  <c r="H9" i="32" s="1"/>
  <c r="L9" i="32" s="1"/>
  <c r="B11" i="32"/>
  <c r="C10" i="32"/>
  <c r="E10" i="32" s="1"/>
  <c r="D10" i="32"/>
  <c r="F10" i="32" s="1"/>
  <c r="G10" i="32" l="1"/>
  <c r="H10" i="32"/>
  <c r="B12" i="32"/>
  <c r="C11" i="32"/>
  <c r="D11" i="32"/>
  <c r="F11" i="32" s="1"/>
  <c r="H11" i="32" s="1"/>
  <c r="L11" i="32" s="1"/>
  <c r="AN26" i="39"/>
  <c r="AN25" i="39"/>
  <c r="AO25" i="39" s="1"/>
  <c r="AN24" i="39"/>
  <c r="AO24" i="39" s="1"/>
  <c r="AN22" i="39"/>
  <c r="AO22" i="39" s="1"/>
  <c r="AN20" i="39"/>
  <c r="AO20" i="39" s="1"/>
  <c r="AN19" i="39"/>
  <c r="AO19" i="39" s="1"/>
  <c r="AN18" i="39"/>
  <c r="AO18" i="39" s="1"/>
  <c r="AN17" i="39"/>
  <c r="AO17" i="39" s="1"/>
  <c r="AN16" i="39"/>
  <c r="AO16" i="39" s="1"/>
  <c r="AN15" i="39"/>
  <c r="AO15" i="39" s="1"/>
  <c r="AN14" i="39"/>
  <c r="AO14" i="39" s="1"/>
  <c r="AN13" i="39"/>
  <c r="AO13" i="39" s="1"/>
  <c r="AN12" i="39"/>
  <c r="AO12" i="39" s="1"/>
  <c r="AN11" i="39"/>
  <c r="AO11" i="39" s="1"/>
  <c r="AN10" i="39"/>
  <c r="AO10" i="39" s="1"/>
  <c r="AN9" i="39"/>
  <c r="AO9" i="39" s="1"/>
  <c r="AN8" i="39"/>
  <c r="AO8" i="39" s="1"/>
  <c r="Y7" i="39"/>
  <c r="AN7" i="39" s="1"/>
  <c r="AO7" i="39" s="1"/>
  <c r="Y6" i="39"/>
  <c r="AN6" i="39" s="1"/>
  <c r="AO6" i="39" s="1"/>
  <c r="AN5" i="39"/>
  <c r="AO5" i="39" s="1"/>
  <c r="AN4" i="39"/>
  <c r="AO4" i="39" s="1"/>
  <c r="AN3" i="39"/>
  <c r="AO3" i="39" s="1"/>
  <c r="AP21" i="39" l="1"/>
  <c r="AQ21" i="39"/>
  <c r="AO26" i="39"/>
  <c r="AP26" i="39" s="1"/>
  <c r="AQ26" i="39" s="1"/>
  <c r="C11" i="20"/>
  <c r="C2" i="13" s="1"/>
  <c r="L10" i="32"/>
  <c r="K10" i="32"/>
  <c r="E11" i="32"/>
  <c r="G11" i="32" s="1"/>
  <c r="K11" i="32" s="1"/>
  <c r="B13" i="32"/>
  <c r="D12" i="32"/>
  <c r="C12" i="32"/>
  <c r="E12" i="32" s="1"/>
  <c r="AP25" i="39"/>
  <c r="AQ25" i="39"/>
  <c r="G12" i="32" l="1"/>
  <c r="B14" i="32"/>
  <c r="C13" i="32"/>
  <c r="E13" i="32" s="1"/>
  <c r="G13" i="32" s="1"/>
  <c r="K13" i="32" s="1"/>
  <c r="D13" i="32"/>
  <c r="F13" i="32" s="1"/>
  <c r="F12" i="32"/>
  <c r="H12" i="32" s="1"/>
  <c r="L12" i="32" s="1"/>
  <c r="AF5" i="30"/>
  <c r="AF4" i="30"/>
  <c r="AD5" i="30"/>
  <c r="AD4" i="30"/>
  <c r="AB5" i="30"/>
  <c r="AB4" i="30"/>
  <c r="Z4" i="30"/>
  <c r="Z5" i="30"/>
  <c r="K12" i="32" l="1"/>
  <c r="H13" i="32"/>
  <c r="B15" i="32"/>
  <c r="C14" i="32"/>
  <c r="E14" i="32" s="1"/>
  <c r="G14" i="32" s="1"/>
  <c r="K14" i="32" s="1"/>
  <c r="D14" i="32"/>
  <c r="F14" i="32" s="1"/>
  <c r="H14" i="32" s="1"/>
  <c r="L14" i="32" s="1"/>
  <c r="E3" i="13"/>
  <c r="L13" i="32" l="1"/>
  <c r="B16" i="32"/>
  <c r="D15" i="32"/>
  <c r="F15" i="32" s="1"/>
  <c r="H15" i="32" s="1"/>
  <c r="L15" i="32" s="1"/>
  <c r="C15" i="32"/>
  <c r="E15" i="32" s="1"/>
  <c r="G15" i="32" s="1"/>
  <c r="K15" i="32" s="1"/>
  <c r="B17" i="32" l="1"/>
  <c r="D16" i="32"/>
  <c r="F16" i="32" s="1"/>
  <c r="C16" i="32"/>
  <c r="E16" i="32" s="1"/>
  <c r="G16" i="32" s="1"/>
  <c r="K16" i="32" s="1"/>
  <c r="S12" i="18"/>
  <c r="S21" i="18"/>
  <c r="S13" i="18"/>
  <c r="S14" i="18"/>
  <c r="S15" i="18"/>
  <c r="S16" i="18"/>
  <c r="S17" i="18"/>
  <c r="S18" i="18"/>
  <c r="S19" i="18"/>
  <c r="S22" i="18"/>
  <c r="S23" i="18"/>
  <c r="S24" i="18"/>
  <c r="S25" i="18"/>
  <c r="S26" i="18"/>
  <c r="S27" i="18"/>
  <c r="S28" i="18"/>
  <c r="S29" i="18"/>
  <c r="S30" i="18"/>
  <c r="D13" i="18"/>
  <c r="D14" i="18"/>
  <c r="D15" i="18"/>
  <c r="D16" i="18"/>
  <c r="D17" i="18"/>
  <c r="D18" i="18"/>
  <c r="D19" i="18"/>
  <c r="D22" i="18"/>
  <c r="D23" i="18"/>
  <c r="D24" i="18"/>
  <c r="D25" i="18"/>
  <c r="D26" i="18"/>
  <c r="D27" i="18"/>
  <c r="D28" i="18"/>
  <c r="D29" i="18"/>
  <c r="D30" i="18"/>
  <c r="D12" i="18"/>
  <c r="D21" i="18"/>
  <c r="B25" i="3"/>
  <c r="B24" i="3"/>
  <c r="B23" i="3"/>
  <c r="B22" i="3"/>
  <c r="B21" i="3"/>
  <c r="B20" i="3"/>
  <c r="B19" i="3"/>
  <c r="B18" i="3"/>
  <c r="B16" i="3"/>
  <c r="B15" i="3"/>
  <c r="B10" i="3"/>
  <c r="B9" i="3"/>
  <c r="H16" i="32" l="1"/>
  <c r="B18" i="32"/>
  <c r="D17" i="32"/>
  <c r="F17" i="32" s="1"/>
  <c r="H17" i="32" s="1"/>
  <c r="L17" i="32" s="1"/>
  <c r="C17" i="32"/>
  <c r="E17" i="32" s="1"/>
  <c r="G17" i="32" s="1"/>
  <c r="K17" i="32" s="1"/>
  <c r="B33" i="3"/>
  <c r="B8" i="3" s="1"/>
  <c r="B32" i="3"/>
  <c r="B7" i="3" s="1"/>
  <c r="S20" i="18"/>
  <c r="D20" i="18"/>
  <c r="L16" i="32" l="1"/>
  <c r="B19" i="32"/>
  <c r="C18" i="32"/>
  <c r="E18" i="32" s="1"/>
  <c r="D18" i="32"/>
  <c r="F18" i="32" s="1"/>
  <c r="E1" i="13"/>
  <c r="H18" i="32" l="1"/>
  <c r="G18" i="32"/>
  <c r="B20" i="32"/>
  <c r="C19" i="32"/>
  <c r="E19" i="32" s="1"/>
  <c r="G19" i="32" s="1"/>
  <c r="K19" i="32" s="1"/>
  <c r="D19" i="32"/>
  <c r="F19" i="32" s="1"/>
  <c r="H19" i="32" s="1"/>
  <c r="L19" i="32" s="1"/>
  <c r="K18" i="32" l="1"/>
  <c r="L18" i="32"/>
  <c r="B21" i="32"/>
  <c r="D20" i="32"/>
  <c r="F20" i="32" s="1"/>
  <c r="H20" i="32" s="1"/>
  <c r="L20" i="32" s="1"/>
  <c r="C20" i="32"/>
  <c r="E20" i="32" s="1"/>
  <c r="A7" i="13"/>
  <c r="A4" i="30" s="1"/>
  <c r="X4" i="30" s="1"/>
  <c r="X5" i="30" s="1"/>
  <c r="X6" i="30" s="1"/>
  <c r="X7" i="30" s="1"/>
  <c r="X8" i="30" s="1"/>
  <c r="X9" i="30" s="1"/>
  <c r="X10" i="30" s="1"/>
  <c r="X11" i="30" s="1"/>
  <c r="X12" i="30" s="1"/>
  <c r="X13" i="30" s="1"/>
  <c r="X14" i="30" s="1"/>
  <c r="X15" i="30" s="1"/>
  <c r="X16" i="30" s="1"/>
  <c r="X17" i="30" s="1"/>
  <c r="X18" i="30" s="1"/>
  <c r="X19" i="30" s="1"/>
  <c r="X20" i="30" s="1"/>
  <c r="X21" i="30" s="1"/>
  <c r="X22" i="30" s="1"/>
  <c r="X23" i="30" s="1"/>
  <c r="X24" i="30" s="1"/>
  <c r="X25" i="30" s="1"/>
  <c r="G20" i="32" l="1"/>
  <c r="B22" i="32"/>
  <c r="D21" i="32"/>
  <c r="F21" i="32" s="1"/>
  <c r="H21" i="32" s="1"/>
  <c r="L21" i="32" s="1"/>
  <c r="C21" i="32"/>
  <c r="E21" i="32" s="1"/>
  <c r="G21" i="32" s="1"/>
  <c r="K21" i="32" s="1"/>
  <c r="A5" i="30"/>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K20" i="32" l="1"/>
  <c r="B23" i="32"/>
  <c r="C22" i="32"/>
  <c r="E22" i="32" s="1"/>
  <c r="D22" i="32"/>
  <c r="F22" i="32" s="1"/>
  <c r="H22" i="32" s="1"/>
  <c r="L22" i="32" s="1"/>
  <c r="L4" i="13"/>
  <c r="G22" i="32" l="1"/>
  <c r="C23" i="32"/>
  <c r="E23" i="32" s="1"/>
  <c r="G23" i="32" s="1"/>
  <c r="K23" i="32" s="1"/>
  <c r="D23" i="32"/>
  <c r="F23" i="32" s="1"/>
  <c r="H23" i="32" s="1"/>
  <c r="L23" i="32" s="1"/>
  <c r="E2" i="13"/>
  <c r="K22" i="32" l="1"/>
  <c r="A3" i="15"/>
  <c r="M4" i="13"/>
  <c r="A4" i="15" l="1"/>
  <c r="A5" i="15" s="1"/>
  <c r="A6" i="15" s="1"/>
  <c r="A7" i="15" s="1"/>
  <c r="A8" i="15" s="1"/>
  <c r="A9" i="15" s="1"/>
  <c r="A10" i="15" s="1"/>
  <c r="A11" i="15" s="1"/>
  <c r="A12" i="15" s="1"/>
  <c r="A13" i="15" s="1"/>
  <c r="A14" i="15" s="1"/>
  <c r="A15" i="15" s="1"/>
  <c r="A16" i="15" s="1"/>
  <c r="A17" i="15" s="1"/>
  <c r="A18" i="15" s="1"/>
  <c r="A19" i="15" s="1"/>
  <c r="A20" i="15" s="1"/>
  <c r="A21" i="15" s="1"/>
  <c r="A22" i="15" s="1"/>
  <c r="X6" i="18" l="1"/>
  <c r="D7" i="13" l="1"/>
  <c r="B4" i="30" s="1"/>
  <c r="V6" i="18"/>
  <c r="Y6" i="18"/>
  <c r="W6" i="18"/>
  <c r="K6" i="18"/>
  <c r="I6" i="18"/>
  <c r="E11" i="18" s="1"/>
  <c r="J6" i="18"/>
  <c r="H6" i="18"/>
  <c r="Y4" i="30" l="1"/>
  <c r="A8" i="13" l="1"/>
  <c r="B7" i="13" l="1"/>
  <c r="A9" i="13"/>
  <c r="D8" i="13"/>
  <c r="B5" i="30" s="1"/>
  <c r="Y5" i="30" s="1"/>
  <c r="B8" i="13" l="1"/>
  <c r="B9" i="13" s="1"/>
  <c r="G7" i="13"/>
  <c r="J7" i="13" s="1"/>
  <c r="E4" i="30" s="1"/>
  <c r="AE4" i="30" s="1"/>
  <c r="C7" i="13"/>
  <c r="E7" i="13" s="1"/>
  <c r="D9" i="13"/>
  <c r="B6" i="30" s="1"/>
  <c r="Y6" i="30" s="1"/>
  <c r="A10" i="13"/>
  <c r="B10" i="13" l="1"/>
  <c r="G10" i="13" s="1"/>
  <c r="J10" i="13" s="1"/>
  <c r="G9" i="13"/>
  <c r="J9" i="13" s="1"/>
  <c r="E6" i="30" s="1"/>
  <c r="AE6" i="30" s="1"/>
  <c r="H7" i="13"/>
  <c r="C4" i="30" s="1"/>
  <c r="AA4" i="30" s="1"/>
  <c r="I7" i="13"/>
  <c r="D4" i="30" s="1"/>
  <c r="C8" i="13"/>
  <c r="E8" i="13" s="1"/>
  <c r="G8" i="13"/>
  <c r="J8" i="13" s="1"/>
  <c r="E5" i="30" s="1"/>
  <c r="AE5" i="30" s="1"/>
  <c r="C9" i="13"/>
  <c r="E9" i="13" s="1"/>
  <c r="D10" i="13"/>
  <c r="B7" i="30" s="1"/>
  <c r="Y7" i="30" s="1"/>
  <c r="A11" i="13"/>
  <c r="C24" i="32" l="1"/>
  <c r="D24" i="32"/>
  <c r="E7" i="30"/>
  <c r="AE7" i="30" s="1"/>
  <c r="AC4" i="30"/>
  <c r="C10" i="13"/>
  <c r="E10" i="13" s="1"/>
  <c r="B11" i="13"/>
  <c r="G11" i="13" s="1"/>
  <c r="J11" i="13" s="1"/>
  <c r="D11" i="13"/>
  <c r="B8" i="30" s="1"/>
  <c r="Y8" i="30" s="1"/>
  <c r="A12" i="13"/>
  <c r="F24" i="32" l="1"/>
  <c r="E24" i="32"/>
  <c r="E8" i="30"/>
  <c r="AE8" i="30" s="1"/>
  <c r="C11" i="13"/>
  <c r="E11" i="13" s="1"/>
  <c r="B12" i="13"/>
  <c r="G12" i="13" s="1"/>
  <c r="J12" i="13" s="1"/>
  <c r="A13" i="13"/>
  <c r="D12" i="13"/>
  <c r="B9" i="30" s="1"/>
  <c r="Y9" i="30" s="1"/>
  <c r="H24" i="32" l="1"/>
  <c r="G24" i="32"/>
  <c r="E9" i="30"/>
  <c r="AE9" i="30" s="1"/>
  <c r="C12" i="13"/>
  <c r="E12" i="13" s="1"/>
  <c r="B13" i="13"/>
  <c r="G13" i="13" s="1"/>
  <c r="J13" i="13" s="1"/>
  <c r="R6" i="30" s="1"/>
  <c r="D13" i="13"/>
  <c r="B10" i="30" s="1"/>
  <c r="Y10" i="30" s="1"/>
  <c r="A14" i="13"/>
  <c r="E10" i="30" l="1"/>
  <c r="AE10" i="30" s="1"/>
  <c r="B14" i="13"/>
  <c r="G14" i="13" s="1"/>
  <c r="J14" i="13" s="1"/>
  <c r="C13" i="13"/>
  <c r="E13" i="13" s="1"/>
  <c r="D14" i="13"/>
  <c r="B11" i="30" s="1"/>
  <c r="Y11" i="30" s="1"/>
  <c r="A15" i="13"/>
  <c r="E11" i="30" l="1"/>
  <c r="AE11" i="30" s="1"/>
  <c r="C14" i="13"/>
  <c r="E14" i="13" s="1"/>
  <c r="B15" i="13"/>
  <c r="G15" i="13" s="1"/>
  <c r="J15" i="13" s="1"/>
  <c r="D15" i="13"/>
  <c r="B12" i="30" s="1"/>
  <c r="Y12" i="30" s="1"/>
  <c r="A16" i="13"/>
  <c r="E12" i="30" l="1"/>
  <c r="AE12" i="30" s="1"/>
  <c r="B16" i="13"/>
  <c r="G16" i="13" s="1"/>
  <c r="J16" i="13" s="1"/>
  <c r="C15" i="13"/>
  <c r="E15" i="13" s="1"/>
  <c r="A17" i="13"/>
  <c r="D16" i="13"/>
  <c r="B13" i="30" s="1"/>
  <c r="Y13" i="30" s="1"/>
  <c r="E13" i="30" l="1"/>
  <c r="AE13" i="30" s="1"/>
  <c r="C16" i="13"/>
  <c r="E16" i="13" s="1"/>
  <c r="B17" i="13"/>
  <c r="G17" i="13" s="1"/>
  <c r="J17" i="13" s="1"/>
  <c r="D17" i="13"/>
  <c r="B14" i="30" s="1"/>
  <c r="Y14" i="30" s="1"/>
  <c r="A18" i="13"/>
  <c r="B18" i="13" l="1"/>
  <c r="G18" i="13" s="1"/>
  <c r="J18" i="13" s="1"/>
  <c r="C17" i="13"/>
  <c r="E17" i="13" s="1"/>
  <c r="E14" i="30"/>
  <c r="AE14" i="30" s="1"/>
  <c r="D18" i="13"/>
  <c r="B15" i="30" s="1"/>
  <c r="Y15" i="30" s="1"/>
  <c r="A19" i="13"/>
  <c r="J5" i="18"/>
  <c r="H11" i="18"/>
  <c r="I5" i="18"/>
  <c r="I4" i="18"/>
  <c r="I3" i="18"/>
  <c r="X5" i="18"/>
  <c r="W5" i="18"/>
  <c r="W4" i="18"/>
  <c r="W3" i="18"/>
  <c r="B19" i="13" l="1"/>
  <c r="G19" i="13" s="1"/>
  <c r="J19" i="13" s="1"/>
  <c r="C18" i="13"/>
  <c r="E18" i="13" s="1"/>
  <c r="E15" i="30"/>
  <c r="AE15" i="30" s="1"/>
  <c r="D19" i="13"/>
  <c r="B16" i="30" s="1"/>
  <c r="Y16" i="30" s="1"/>
  <c r="A20" i="13"/>
  <c r="B20" i="13" l="1"/>
  <c r="G20" i="13" s="1"/>
  <c r="J20" i="13" s="1"/>
  <c r="C19" i="13"/>
  <c r="E19" i="13" s="1"/>
  <c r="E16" i="30"/>
  <c r="AE16" i="30" s="1"/>
  <c r="A21" i="13"/>
  <c r="D20" i="13"/>
  <c r="B17" i="30" s="1"/>
  <c r="Y17" i="30" s="1"/>
  <c r="B21" i="13" l="1"/>
  <c r="G21" i="13" s="1"/>
  <c r="J21" i="13" s="1"/>
  <c r="C20" i="13"/>
  <c r="E20" i="13" s="1"/>
  <c r="E17" i="30"/>
  <c r="AE17" i="30" s="1"/>
  <c r="A22" i="13"/>
  <c r="D21" i="13"/>
  <c r="B18" i="30" s="1"/>
  <c r="Y18" i="30" s="1"/>
  <c r="C21" i="13" l="1"/>
  <c r="E21" i="13" s="1"/>
  <c r="B22" i="13"/>
  <c r="G22" i="13" s="1"/>
  <c r="J22" i="13" s="1"/>
  <c r="E18" i="30"/>
  <c r="AE18" i="30" s="1"/>
  <c r="D22" i="13"/>
  <c r="B19" i="30" s="1"/>
  <c r="Y19" i="30" s="1"/>
  <c r="A23" i="13"/>
  <c r="B23" i="13" l="1"/>
  <c r="G23" i="13" s="1"/>
  <c r="J23" i="13" s="1"/>
  <c r="C22" i="13"/>
  <c r="E22" i="13" s="1"/>
  <c r="E19" i="30"/>
  <c r="AE19" i="30" s="1"/>
  <c r="D23" i="13"/>
  <c r="B20" i="30" s="1"/>
  <c r="Y20" i="30" s="1"/>
  <c r="A24" i="13"/>
  <c r="B24" i="13" l="1"/>
  <c r="G24" i="13" s="1"/>
  <c r="J24" i="13" s="1"/>
  <c r="C23" i="13"/>
  <c r="E23" i="13" s="1"/>
  <c r="E20" i="30"/>
  <c r="AE20" i="30" s="1"/>
  <c r="A25" i="13"/>
  <c r="D24" i="13"/>
  <c r="B21" i="30" s="1"/>
  <c r="Y21" i="30" s="1"/>
  <c r="B25" i="13" l="1"/>
  <c r="G25" i="13" s="1"/>
  <c r="J25" i="13" s="1"/>
  <c r="C24" i="13"/>
  <c r="E24" i="13" s="1"/>
  <c r="E21" i="30"/>
  <c r="AE21" i="30" s="1"/>
  <c r="A26" i="13"/>
  <c r="B3" i="15" s="1"/>
  <c r="D25" i="13"/>
  <c r="B22" i="30" s="1"/>
  <c r="Y22" i="30" s="1"/>
  <c r="C25" i="13" l="1"/>
  <c r="E25" i="13" s="1"/>
  <c r="B26" i="13"/>
  <c r="G26" i="13" s="1"/>
  <c r="J26" i="13" s="1"/>
  <c r="E22" i="30"/>
  <c r="AE22" i="30" s="1"/>
  <c r="D26" i="13"/>
  <c r="B23" i="30" s="1"/>
  <c r="Y23" i="30" s="1"/>
  <c r="A27" i="13"/>
  <c r="C26" i="13" l="1"/>
  <c r="E26" i="13" s="1"/>
  <c r="B27" i="13"/>
  <c r="G27" i="13" s="1"/>
  <c r="J27" i="13" s="1"/>
  <c r="E23" i="30"/>
  <c r="AE23" i="30" s="1"/>
  <c r="A28" i="13"/>
  <c r="D27" i="13"/>
  <c r="B24" i="30" s="1"/>
  <c r="Y24" i="30" s="1"/>
  <c r="C27" i="13"/>
  <c r="B28" i="13" l="1"/>
  <c r="G28" i="13" s="1"/>
  <c r="J28" i="13" s="1"/>
  <c r="E24" i="30"/>
  <c r="AE24" i="30" s="1"/>
  <c r="E27" i="13"/>
  <c r="A29" i="13"/>
  <c r="D28" i="13"/>
  <c r="B25" i="30" s="1"/>
  <c r="Y25" i="30" s="1"/>
  <c r="B29" i="13" l="1"/>
  <c r="G29" i="13" s="1"/>
  <c r="J29" i="13" s="1"/>
  <c r="C28" i="13"/>
  <c r="E28" i="13" s="1"/>
  <c r="E25" i="30"/>
  <c r="AE25" i="30" s="1"/>
  <c r="A30" i="13"/>
  <c r="D29" i="13"/>
  <c r="B30" i="13" l="1"/>
  <c r="G30" i="13" s="1"/>
  <c r="J30" i="13" s="1"/>
  <c r="C29" i="13"/>
  <c r="E29" i="13" s="1"/>
  <c r="D30" i="13"/>
  <c r="A31" i="13"/>
  <c r="B31" i="13" l="1"/>
  <c r="G31" i="13" s="1"/>
  <c r="J31" i="13" s="1"/>
  <c r="C30" i="13"/>
  <c r="E30" i="13" s="1"/>
  <c r="D31" i="13"/>
  <c r="A32" i="13"/>
  <c r="C31" i="13" l="1"/>
  <c r="E31" i="13" s="1"/>
  <c r="B32" i="13"/>
  <c r="G32" i="13" s="1"/>
  <c r="J32" i="13" s="1"/>
  <c r="A33" i="13"/>
  <c r="D32" i="13"/>
  <c r="B33" i="13"/>
  <c r="G33" i="13" s="1"/>
  <c r="J33" i="13" s="1"/>
  <c r="C32" i="13" l="1"/>
  <c r="E32" i="13" s="1"/>
  <c r="C33" i="13"/>
  <c r="B34" i="13"/>
  <c r="G34" i="13" s="1"/>
  <c r="J34" i="13" s="1"/>
  <c r="D33" i="13"/>
  <c r="A34" i="13"/>
  <c r="E33" i="13" l="1"/>
  <c r="D34" i="13"/>
  <c r="A35" i="13"/>
  <c r="B35" i="13"/>
  <c r="G35" i="13" s="1"/>
  <c r="J35" i="13" s="1"/>
  <c r="C34" i="13"/>
  <c r="E34" i="13" l="1"/>
  <c r="B36" i="13"/>
  <c r="G36" i="13" s="1"/>
  <c r="J36" i="13" s="1"/>
  <c r="C35" i="13"/>
  <c r="D35" i="13"/>
  <c r="A36" i="13"/>
  <c r="B3" i="18"/>
  <c r="A11" i="18" s="1"/>
  <c r="P11" i="18" s="1"/>
  <c r="E35" i="13" l="1"/>
  <c r="C36" i="13"/>
  <c r="B37" i="13"/>
  <c r="G37" i="13" s="1"/>
  <c r="J37" i="13" s="1"/>
  <c r="A37" i="13"/>
  <c r="D36" i="13"/>
  <c r="B38" i="13" l="1"/>
  <c r="G38" i="13" s="1"/>
  <c r="J38" i="13" s="1"/>
  <c r="C37" i="13"/>
  <c r="E36" i="13"/>
  <c r="A38" i="13"/>
  <c r="D37" i="13"/>
  <c r="F2" i="13"/>
  <c r="H38" i="13" l="1"/>
  <c r="I38" i="13"/>
  <c r="B39" i="13"/>
  <c r="G39" i="13" s="1"/>
  <c r="J39" i="13" s="1"/>
  <c r="C38" i="13"/>
  <c r="E37" i="13"/>
  <c r="D38" i="13"/>
  <c r="A39" i="13"/>
  <c r="H39" i="13" l="1"/>
  <c r="I39" i="13"/>
  <c r="E38" i="13"/>
  <c r="C39" i="13"/>
  <c r="B40" i="13"/>
  <c r="G40" i="13" s="1"/>
  <c r="J40" i="13" s="1"/>
  <c r="D39" i="13"/>
  <c r="A40" i="13"/>
  <c r="E26" i="30" l="1"/>
  <c r="I40" i="13"/>
  <c r="H40" i="13"/>
  <c r="E39" i="13"/>
  <c r="B41" i="13"/>
  <c r="G41" i="13" s="1"/>
  <c r="J41" i="13" s="1"/>
  <c r="C40" i="13"/>
  <c r="A41" i="13"/>
  <c r="D40" i="13"/>
  <c r="H41" i="13" l="1"/>
  <c r="I41" i="13"/>
  <c r="E40" i="13"/>
  <c r="B42" i="13"/>
  <c r="G42" i="13" s="1"/>
  <c r="C41" i="13"/>
  <c r="A42" i="13"/>
  <c r="D41" i="13"/>
  <c r="B26" i="30" s="1"/>
  <c r="Y26" i="30" l="1"/>
  <c r="AE26" i="30"/>
  <c r="H42" i="13"/>
  <c r="I42" i="13"/>
  <c r="J42" i="13"/>
  <c r="E41" i="13"/>
  <c r="C42" i="13"/>
  <c r="B43" i="13"/>
  <c r="G43" i="13" s="1"/>
  <c r="D42" i="13"/>
  <c r="A43" i="13"/>
  <c r="P12" i="18"/>
  <c r="G20" i="20" l="1"/>
  <c r="G21" i="20" s="1"/>
  <c r="I43" i="13"/>
  <c r="J43" i="13"/>
  <c r="H43" i="13"/>
  <c r="E42" i="13"/>
  <c r="C43" i="13"/>
  <c r="B44" i="13"/>
  <c r="G44" i="13" s="1"/>
  <c r="A44" i="13"/>
  <c r="D43" i="13"/>
  <c r="P13" i="18"/>
  <c r="J44" i="13" l="1"/>
  <c r="H44" i="13"/>
  <c r="I44" i="13"/>
  <c r="B45" i="13"/>
  <c r="G45" i="13" s="1"/>
  <c r="C44" i="13"/>
  <c r="E43" i="13"/>
  <c r="D44" i="13"/>
  <c r="A45" i="13"/>
  <c r="P14" i="18"/>
  <c r="A12" i="18"/>
  <c r="I45" i="13" l="1"/>
  <c r="H45" i="13"/>
  <c r="J45" i="13"/>
  <c r="I8" i="13"/>
  <c r="A46" i="13"/>
  <c r="D45" i="13"/>
  <c r="E44" i="13"/>
  <c r="C45" i="13"/>
  <c r="B46" i="13"/>
  <c r="B4" i="15"/>
  <c r="C3" i="15"/>
  <c r="T11" i="18"/>
  <c r="P15" i="18"/>
  <c r="A13" i="18"/>
  <c r="C46" i="13" l="1"/>
  <c r="G46" i="13"/>
  <c r="D5" i="30"/>
  <c r="AC5" i="30" s="1"/>
  <c r="H8" i="13"/>
  <c r="C5" i="30" s="1"/>
  <c r="AA5" i="30" s="1"/>
  <c r="H9" i="13"/>
  <c r="I9" i="13"/>
  <c r="D6" i="30" s="1"/>
  <c r="AC6" i="30" s="1"/>
  <c r="K11" i="18"/>
  <c r="M11" i="18" s="1"/>
  <c r="I11" i="18"/>
  <c r="Z11" i="18"/>
  <c r="AB11" i="18" s="1"/>
  <c r="E45" i="13"/>
  <c r="D46" i="13"/>
  <c r="B5" i="15"/>
  <c r="C4" i="15"/>
  <c r="X11" i="18"/>
  <c r="V11" i="18"/>
  <c r="U11" i="18"/>
  <c r="P16" i="18"/>
  <c r="A14" i="18"/>
  <c r="T14" i="18"/>
  <c r="T13" i="18"/>
  <c r="C6" i="30" l="1"/>
  <c r="AA6" i="30" s="1"/>
  <c r="J46" i="13"/>
  <c r="H46" i="13"/>
  <c r="I46" i="13"/>
  <c r="H10" i="13"/>
  <c r="I10" i="13"/>
  <c r="D7" i="30" s="1"/>
  <c r="AC7" i="30" s="1"/>
  <c r="D3" i="15"/>
  <c r="Z12" i="18"/>
  <c r="AB12" i="18" s="1"/>
  <c r="T12" i="18"/>
  <c r="Z13" i="18"/>
  <c r="AB13" i="18" s="1"/>
  <c r="Z14" i="18"/>
  <c r="AB14" i="18" s="1"/>
  <c r="AA11" i="18"/>
  <c r="AC11" i="18" s="1"/>
  <c r="X12" i="18"/>
  <c r="E46" i="13"/>
  <c r="E47" i="13" s="1"/>
  <c r="D47" i="13"/>
  <c r="B6" i="15"/>
  <c r="C5" i="15"/>
  <c r="V12" i="18"/>
  <c r="U13" i="18"/>
  <c r="X13" i="18"/>
  <c r="X14" i="18"/>
  <c r="Y11" i="18"/>
  <c r="V13" i="18"/>
  <c r="V14" i="18"/>
  <c r="G11" i="18"/>
  <c r="F3" i="15" s="1"/>
  <c r="T15" i="18"/>
  <c r="P17" i="18"/>
  <c r="A15" i="18"/>
  <c r="U12" i="18"/>
  <c r="U14" i="18"/>
  <c r="C7" i="30" l="1"/>
  <c r="AA7" i="30" s="1"/>
  <c r="I11" i="13"/>
  <c r="D8" i="30" s="1"/>
  <c r="AC8" i="30" s="1"/>
  <c r="H11" i="13"/>
  <c r="L11" i="18"/>
  <c r="N11" i="18" s="1"/>
  <c r="J11" i="18"/>
  <c r="H3" i="15" s="1"/>
  <c r="S6" i="30" s="1"/>
  <c r="L12" i="18"/>
  <c r="N12" i="18" s="1"/>
  <c r="J12" i="18"/>
  <c r="K12" i="18"/>
  <c r="M12" i="18" s="1"/>
  <c r="I12" i="18"/>
  <c r="AA12" i="18"/>
  <c r="AC12" i="18" s="1"/>
  <c r="Z15" i="18"/>
  <c r="AB15" i="18" s="1"/>
  <c r="AA14" i="18"/>
  <c r="AC14" i="18" s="1"/>
  <c r="AA13" i="18"/>
  <c r="AC13" i="18" s="1"/>
  <c r="F11" i="18"/>
  <c r="E12" i="18"/>
  <c r="F12" i="18"/>
  <c r="B7" i="15"/>
  <c r="C6" i="15"/>
  <c r="G3" i="15"/>
  <c r="K6" i="30" s="1"/>
  <c r="Y13" i="18"/>
  <c r="X15" i="18"/>
  <c r="Y12" i="18"/>
  <c r="Y14" i="18"/>
  <c r="V15" i="18"/>
  <c r="G12" i="18"/>
  <c r="F4" i="15" s="1"/>
  <c r="T16" i="18"/>
  <c r="P18" i="18"/>
  <c r="A16" i="18"/>
  <c r="U15" i="18"/>
  <c r="V6" i="30" l="1"/>
  <c r="C8" i="30"/>
  <c r="AA8" i="30" s="1"/>
  <c r="H12" i="13"/>
  <c r="C9" i="30" s="1"/>
  <c r="AA9" i="30" s="1"/>
  <c r="I12" i="13"/>
  <c r="D9" i="30" s="1"/>
  <c r="AC9" i="30" s="1"/>
  <c r="D4" i="15"/>
  <c r="K13" i="18"/>
  <c r="M13" i="18" s="1"/>
  <c r="I13" i="18"/>
  <c r="L13" i="18"/>
  <c r="N13" i="18" s="1"/>
  <c r="J13" i="18"/>
  <c r="AA15" i="18"/>
  <c r="AC15" i="18" s="1"/>
  <c r="Z16" i="18"/>
  <c r="AB16" i="18" s="1"/>
  <c r="E3" i="15"/>
  <c r="G6" i="30" s="1"/>
  <c r="E4" i="15"/>
  <c r="E13" i="18"/>
  <c r="F13" i="18"/>
  <c r="B8" i="15"/>
  <c r="C7" i="15"/>
  <c r="X16" i="18"/>
  <c r="Y15" i="18"/>
  <c r="V16" i="18"/>
  <c r="G4" i="15"/>
  <c r="K7" i="30" s="1"/>
  <c r="G13" i="18"/>
  <c r="F5" i="15" s="1"/>
  <c r="T17" i="18"/>
  <c r="G5" i="15"/>
  <c r="U16" i="18"/>
  <c r="P19" i="18"/>
  <c r="H4" i="15"/>
  <c r="S7" i="30" s="1"/>
  <c r="A17" i="18"/>
  <c r="K8" i="30" l="1"/>
  <c r="N8" i="30" s="1"/>
  <c r="Z6" i="30"/>
  <c r="N6" i="30"/>
  <c r="N7" i="30"/>
  <c r="G7" i="30"/>
  <c r="J6" i="30"/>
  <c r="V7" i="30"/>
  <c r="H13" i="13"/>
  <c r="P6" i="30" s="1"/>
  <c r="I13" i="13"/>
  <c r="D5" i="15"/>
  <c r="L14" i="18"/>
  <c r="N14" i="18" s="1"/>
  <c r="J14" i="18"/>
  <c r="K14" i="18"/>
  <c r="M14" i="18" s="1"/>
  <c r="I14" i="18"/>
  <c r="Z17" i="18"/>
  <c r="AB17" i="18" s="1"/>
  <c r="AA16" i="18"/>
  <c r="AC16" i="18" s="1"/>
  <c r="E5" i="15"/>
  <c r="E14" i="18"/>
  <c r="F14" i="18"/>
  <c r="B9" i="15"/>
  <c r="C8" i="15"/>
  <c r="X17" i="18"/>
  <c r="Y16" i="18"/>
  <c r="V17" i="18"/>
  <c r="G14" i="18"/>
  <c r="F6" i="15" s="1"/>
  <c r="T18" i="18"/>
  <c r="G6" i="15"/>
  <c r="U17" i="18"/>
  <c r="P20" i="18"/>
  <c r="A18" i="18"/>
  <c r="H5" i="15"/>
  <c r="S8" i="30" s="1"/>
  <c r="I6" i="30" l="1"/>
  <c r="Q6" i="30"/>
  <c r="K9" i="30"/>
  <c r="N9" i="30" s="1"/>
  <c r="AF6" i="30"/>
  <c r="H6" i="30"/>
  <c r="J7" i="30"/>
  <c r="G8" i="30"/>
  <c r="D10" i="30"/>
  <c r="AC10" i="30" s="1"/>
  <c r="M6" i="30"/>
  <c r="U6" i="30"/>
  <c r="L6" i="30"/>
  <c r="T6" i="30"/>
  <c r="V8" i="30"/>
  <c r="C10" i="30"/>
  <c r="AA10" i="30" s="1"/>
  <c r="H14" i="13"/>
  <c r="I14" i="13"/>
  <c r="L15" i="18"/>
  <c r="N15" i="18" s="1"/>
  <c r="J15" i="18"/>
  <c r="K15" i="18"/>
  <c r="M15" i="18" s="1"/>
  <c r="I15" i="18"/>
  <c r="D6" i="15"/>
  <c r="Z18" i="18"/>
  <c r="AB18" i="18" s="1"/>
  <c r="AA17" i="18"/>
  <c r="AC17" i="18" s="1"/>
  <c r="E6" i="15"/>
  <c r="F15" i="18"/>
  <c r="E15" i="18"/>
  <c r="B10" i="15"/>
  <c r="C9" i="15"/>
  <c r="X18" i="18"/>
  <c r="Y17" i="18"/>
  <c r="V18" i="18"/>
  <c r="G15" i="18"/>
  <c r="F7" i="15" s="1"/>
  <c r="G7" i="15"/>
  <c r="T19" i="18"/>
  <c r="U18" i="18"/>
  <c r="P21" i="18"/>
  <c r="A19" i="18"/>
  <c r="H6" i="15"/>
  <c r="S9" i="30" s="1"/>
  <c r="K10" i="30" l="1"/>
  <c r="AD6" i="30"/>
  <c r="AB6" i="30"/>
  <c r="J8" i="30"/>
  <c r="L7" i="30"/>
  <c r="T7" i="30"/>
  <c r="H7" i="30"/>
  <c r="D11" i="30"/>
  <c r="AC11" i="30" s="1"/>
  <c r="M7" i="30"/>
  <c r="U7" i="30"/>
  <c r="I7" i="30"/>
  <c r="G9" i="30"/>
  <c r="V9" i="30"/>
  <c r="C11" i="30"/>
  <c r="AA11" i="30" s="1"/>
  <c r="I15" i="13"/>
  <c r="H15" i="13"/>
  <c r="D7" i="15"/>
  <c r="K16" i="18"/>
  <c r="M16" i="18" s="1"/>
  <c r="I16" i="18"/>
  <c r="L16" i="18"/>
  <c r="N16" i="18" s="1"/>
  <c r="J16" i="18"/>
  <c r="AA18" i="18"/>
  <c r="AC18" i="18" s="1"/>
  <c r="Z19" i="18"/>
  <c r="AB19" i="18" s="1"/>
  <c r="E7" i="15"/>
  <c r="F16" i="18"/>
  <c r="E16" i="18"/>
  <c r="B11" i="15"/>
  <c r="C10" i="15"/>
  <c r="X19" i="18"/>
  <c r="Y18" i="18"/>
  <c r="V19" i="18"/>
  <c r="G16" i="18"/>
  <c r="F8" i="15" s="1"/>
  <c r="U19" i="18"/>
  <c r="T20" i="18"/>
  <c r="G8" i="15"/>
  <c r="P22" i="18"/>
  <c r="H7" i="15"/>
  <c r="S10" i="30" s="1"/>
  <c r="A20" i="18"/>
  <c r="K11" i="30" l="1"/>
  <c r="N11" i="30" s="1"/>
  <c r="N10" i="30"/>
  <c r="G10" i="30"/>
  <c r="J9" i="30"/>
  <c r="D12" i="30"/>
  <c r="AC12" i="30" s="1"/>
  <c r="M8" i="30"/>
  <c r="U8" i="30"/>
  <c r="I8" i="30"/>
  <c r="L8" i="30"/>
  <c r="T8" i="30"/>
  <c r="H8" i="30"/>
  <c r="V10" i="30"/>
  <c r="C12" i="30"/>
  <c r="AA12" i="30" s="1"/>
  <c r="D8" i="15"/>
  <c r="H8" i="15"/>
  <c r="S11" i="30" s="1"/>
  <c r="E8" i="15"/>
  <c r="H16" i="13"/>
  <c r="I16" i="13"/>
  <c r="K17" i="18"/>
  <c r="M17" i="18" s="1"/>
  <c r="I17" i="18"/>
  <c r="L17" i="18"/>
  <c r="N17" i="18" s="1"/>
  <c r="J17" i="18"/>
  <c r="Z20" i="18"/>
  <c r="AB20" i="18" s="1"/>
  <c r="AA19" i="18"/>
  <c r="AC19" i="18" s="1"/>
  <c r="F17" i="18"/>
  <c r="E17" i="18"/>
  <c r="B12" i="15"/>
  <c r="C11" i="15"/>
  <c r="X20" i="18"/>
  <c r="Y19" i="18"/>
  <c r="V20" i="18"/>
  <c r="G17" i="18"/>
  <c r="F9" i="15" s="1"/>
  <c r="T21" i="18"/>
  <c r="U20" i="18"/>
  <c r="G9" i="15"/>
  <c r="P23" i="18"/>
  <c r="A21" i="18"/>
  <c r="K12" i="30" l="1"/>
  <c r="H9" i="30"/>
  <c r="J10" i="30"/>
  <c r="G11" i="30"/>
  <c r="D13" i="30"/>
  <c r="AC13" i="30" s="1"/>
  <c r="M9" i="30"/>
  <c r="U9" i="30"/>
  <c r="I9" i="30"/>
  <c r="L9" i="30"/>
  <c r="T9" i="30"/>
  <c r="V11" i="30"/>
  <c r="C13" i="30"/>
  <c r="AA13" i="30" s="1"/>
  <c r="D9" i="15"/>
  <c r="H9" i="15"/>
  <c r="S12" i="30" s="1"/>
  <c r="E9" i="15"/>
  <c r="H17" i="13"/>
  <c r="I17" i="13"/>
  <c r="K18" i="18"/>
  <c r="M18" i="18" s="1"/>
  <c r="I18" i="18"/>
  <c r="L18" i="18"/>
  <c r="N18" i="18" s="1"/>
  <c r="J18" i="18"/>
  <c r="AA20" i="18"/>
  <c r="AC20" i="18" s="1"/>
  <c r="Z21" i="18"/>
  <c r="AB21" i="18" s="1"/>
  <c r="E18" i="18"/>
  <c r="F18" i="18"/>
  <c r="B13" i="15"/>
  <c r="C12" i="15"/>
  <c r="X21" i="18"/>
  <c r="Y20" i="18"/>
  <c r="V21" i="18"/>
  <c r="T22" i="18"/>
  <c r="G18" i="18"/>
  <c r="F10" i="15" s="1"/>
  <c r="U21" i="18"/>
  <c r="G10" i="15"/>
  <c r="P24" i="18"/>
  <c r="A22" i="18"/>
  <c r="T23" i="18"/>
  <c r="K13" i="30" l="1"/>
  <c r="N13" i="30" s="1"/>
  <c r="N12" i="30"/>
  <c r="J11" i="30"/>
  <c r="G12" i="30"/>
  <c r="D14" i="30"/>
  <c r="AC14" i="30" s="1"/>
  <c r="M10" i="30"/>
  <c r="U10" i="30"/>
  <c r="I10" i="30"/>
  <c r="L10" i="30"/>
  <c r="T10" i="30"/>
  <c r="H10" i="30"/>
  <c r="V12" i="30"/>
  <c r="C14" i="30"/>
  <c r="AA14" i="30" s="1"/>
  <c r="E10" i="15"/>
  <c r="D10" i="15"/>
  <c r="H10" i="15"/>
  <c r="S13" i="30" s="1"/>
  <c r="H18" i="13"/>
  <c r="I18" i="13"/>
  <c r="L19" i="18"/>
  <c r="N19" i="18" s="1"/>
  <c r="J19" i="18"/>
  <c r="K19" i="18"/>
  <c r="M19" i="18" s="1"/>
  <c r="I19" i="18"/>
  <c r="Z23" i="18"/>
  <c r="AB23" i="18" s="1"/>
  <c r="AA21" i="18"/>
  <c r="AC21" i="18" s="1"/>
  <c r="Z22" i="18"/>
  <c r="AB22" i="18" s="1"/>
  <c r="F19" i="18"/>
  <c r="E19" i="18"/>
  <c r="B14" i="15"/>
  <c r="C13" i="15"/>
  <c r="X22" i="18"/>
  <c r="X23" i="18"/>
  <c r="Y21" i="18"/>
  <c r="V23" i="18"/>
  <c r="V22" i="18"/>
  <c r="U22" i="18"/>
  <c r="G19" i="18"/>
  <c r="F11" i="15" s="1"/>
  <c r="G11" i="15"/>
  <c r="P25" i="18"/>
  <c r="A23" i="18"/>
  <c r="T24" i="18"/>
  <c r="U23" i="18"/>
  <c r="K14" i="30" l="1"/>
  <c r="N14" i="30" s="1"/>
  <c r="J12" i="30"/>
  <c r="G13" i="30"/>
  <c r="L11" i="30"/>
  <c r="H11" i="30"/>
  <c r="T11" i="30"/>
  <c r="D15" i="30"/>
  <c r="AC15" i="30" s="1"/>
  <c r="M11" i="30"/>
  <c r="I11" i="30"/>
  <c r="U11" i="30"/>
  <c r="V13" i="30"/>
  <c r="C15" i="30"/>
  <c r="AA15" i="30" s="1"/>
  <c r="E11" i="15"/>
  <c r="H11" i="15"/>
  <c r="S14" i="30" s="1"/>
  <c r="D11" i="15"/>
  <c r="I19" i="13"/>
  <c r="H19" i="13"/>
  <c r="K20" i="18"/>
  <c r="M20" i="18" s="1"/>
  <c r="I20" i="18"/>
  <c r="L20" i="18"/>
  <c r="N20" i="18" s="1"/>
  <c r="J20" i="18"/>
  <c r="AA22" i="18"/>
  <c r="AC22" i="18" s="1"/>
  <c r="AA23" i="18"/>
  <c r="AC23" i="18" s="1"/>
  <c r="Z24" i="18"/>
  <c r="AB24" i="18" s="1"/>
  <c r="F20" i="18"/>
  <c r="E20" i="18"/>
  <c r="B15" i="15"/>
  <c r="C14" i="15"/>
  <c r="X24" i="18"/>
  <c r="Y23" i="18"/>
  <c r="Y22" i="18"/>
  <c r="V24" i="18"/>
  <c r="G20" i="18"/>
  <c r="F12" i="15" s="1"/>
  <c r="G12" i="15"/>
  <c r="P26" i="18"/>
  <c r="A24" i="18"/>
  <c r="U24" i="18"/>
  <c r="T25" i="18"/>
  <c r="K15" i="30" l="1"/>
  <c r="N15" i="30" s="1"/>
  <c r="J13" i="30"/>
  <c r="G14" i="30"/>
  <c r="D16" i="30"/>
  <c r="AC16" i="30" s="1"/>
  <c r="M12" i="30"/>
  <c r="U12" i="30"/>
  <c r="I12" i="30"/>
  <c r="L12" i="30"/>
  <c r="H12" i="30"/>
  <c r="T12" i="30"/>
  <c r="V14" i="30"/>
  <c r="C16" i="30"/>
  <c r="AA16" i="30" s="1"/>
  <c r="E12" i="15"/>
  <c r="D12" i="15"/>
  <c r="H12" i="15"/>
  <c r="S15" i="30" s="1"/>
  <c r="H20" i="13"/>
  <c r="I20" i="13"/>
  <c r="K21" i="18"/>
  <c r="M21" i="18" s="1"/>
  <c r="I21" i="18"/>
  <c r="L21" i="18"/>
  <c r="N21" i="18" s="1"/>
  <c r="J21" i="18"/>
  <c r="Z25" i="18"/>
  <c r="AB25" i="18" s="1"/>
  <c r="AA24" i="18"/>
  <c r="AC24" i="18" s="1"/>
  <c r="E21" i="18"/>
  <c r="F21" i="18"/>
  <c r="B16" i="15"/>
  <c r="C15" i="15"/>
  <c r="X25" i="18"/>
  <c r="Y24" i="18"/>
  <c r="V25" i="18"/>
  <c r="G21" i="18"/>
  <c r="F13" i="15" s="1"/>
  <c r="G13" i="15"/>
  <c r="P27" i="18"/>
  <c r="A25" i="18"/>
  <c r="T26" i="18"/>
  <c r="U25" i="18"/>
  <c r="K16" i="30" l="1"/>
  <c r="N16" i="30" s="1"/>
  <c r="J14" i="30"/>
  <c r="D17" i="30"/>
  <c r="AC17" i="30" s="1"/>
  <c r="M13" i="30"/>
  <c r="I13" i="30"/>
  <c r="U13" i="30"/>
  <c r="L13" i="30"/>
  <c r="T13" i="30"/>
  <c r="H13" i="30"/>
  <c r="G15" i="30"/>
  <c r="V15" i="30"/>
  <c r="C17" i="30"/>
  <c r="AA17" i="30" s="1"/>
  <c r="H13" i="15"/>
  <c r="S16" i="30" s="1"/>
  <c r="E13" i="15"/>
  <c r="D13" i="15"/>
  <c r="H21" i="13"/>
  <c r="I21" i="13"/>
  <c r="K22" i="18"/>
  <c r="M22" i="18" s="1"/>
  <c r="I22" i="18"/>
  <c r="L22" i="18"/>
  <c r="N22" i="18" s="1"/>
  <c r="J22" i="18"/>
  <c r="AA25" i="18"/>
  <c r="AC25" i="18" s="1"/>
  <c r="Z26" i="18"/>
  <c r="AB26" i="18" s="1"/>
  <c r="F22" i="18"/>
  <c r="E22" i="18"/>
  <c r="B17" i="15"/>
  <c r="C16" i="15"/>
  <c r="X26" i="18"/>
  <c r="Y25" i="18"/>
  <c r="V26" i="18"/>
  <c r="G22" i="18"/>
  <c r="F14" i="15" s="1"/>
  <c r="G14" i="15"/>
  <c r="P28" i="18"/>
  <c r="A26" i="18"/>
  <c r="T27" i="18"/>
  <c r="U26" i="18"/>
  <c r="K17" i="30" l="1"/>
  <c r="N17" i="30" s="1"/>
  <c r="J15" i="30"/>
  <c r="L14" i="30"/>
  <c r="H14" i="30"/>
  <c r="T14" i="30"/>
  <c r="D18" i="30"/>
  <c r="AC18" i="30" s="1"/>
  <c r="M14" i="30"/>
  <c r="U14" i="30"/>
  <c r="I14" i="30"/>
  <c r="G16" i="30"/>
  <c r="V16" i="30"/>
  <c r="C18" i="30"/>
  <c r="AA18" i="30" s="1"/>
  <c r="D14" i="15"/>
  <c r="E14" i="15"/>
  <c r="H14" i="15"/>
  <c r="S17" i="30" s="1"/>
  <c r="H22" i="13"/>
  <c r="I22" i="13"/>
  <c r="L23" i="18"/>
  <c r="N23" i="18" s="1"/>
  <c r="J23" i="18"/>
  <c r="K23" i="18"/>
  <c r="M23" i="18" s="1"/>
  <c r="I23" i="18"/>
  <c r="Z27" i="18"/>
  <c r="AB27" i="18" s="1"/>
  <c r="AA26" i="18"/>
  <c r="AC26" i="18" s="1"/>
  <c r="E23" i="18"/>
  <c r="F23" i="18"/>
  <c r="B18" i="15"/>
  <c r="C17" i="15"/>
  <c r="X27" i="18"/>
  <c r="Y26" i="18"/>
  <c r="V27" i="18"/>
  <c r="G23" i="18"/>
  <c r="F15" i="15" s="1"/>
  <c r="G15" i="15"/>
  <c r="P29" i="18"/>
  <c r="A27" i="18"/>
  <c r="U27" i="18"/>
  <c r="T28" i="18"/>
  <c r="K18" i="30" l="1"/>
  <c r="N18" i="30" s="1"/>
  <c r="G17" i="30"/>
  <c r="J16" i="30"/>
  <c r="L15" i="30"/>
  <c r="H15" i="30"/>
  <c r="T15" i="30"/>
  <c r="D19" i="30"/>
  <c r="AC19" i="30" s="1"/>
  <c r="M15" i="30"/>
  <c r="I15" i="30"/>
  <c r="U15" i="30"/>
  <c r="V17" i="30"/>
  <c r="C19" i="30"/>
  <c r="AA19" i="30" s="1"/>
  <c r="H15" i="15"/>
  <c r="S18" i="30" s="1"/>
  <c r="D15" i="15"/>
  <c r="E15" i="15"/>
  <c r="I23" i="13"/>
  <c r="H23" i="13"/>
  <c r="K24" i="18"/>
  <c r="M24" i="18" s="1"/>
  <c r="I24" i="18"/>
  <c r="L24" i="18"/>
  <c r="N24" i="18" s="1"/>
  <c r="J24" i="18"/>
  <c r="Z28" i="18"/>
  <c r="AB28" i="18" s="1"/>
  <c r="AA27" i="18"/>
  <c r="AC27" i="18" s="1"/>
  <c r="F24" i="18"/>
  <c r="E24" i="18"/>
  <c r="B19" i="15"/>
  <c r="C18" i="15"/>
  <c r="X28" i="18"/>
  <c r="Y27" i="18"/>
  <c r="V28" i="18"/>
  <c r="G24" i="18"/>
  <c r="F16" i="15" s="1"/>
  <c r="G16" i="15"/>
  <c r="P30" i="18"/>
  <c r="A28" i="18"/>
  <c r="T29" i="18"/>
  <c r="U28" i="18"/>
  <c r="K19" i="30" l="1"/>
  <c r="N19" i="30" s="1"/>
  <c r="J17" i="30"/>
  <c r="D20" i="30"/>
  <c r="AC20" i="30" s="1"/>
  <c r="M16" i="30"/>
  <c r="I16" i="30"/>
  <c r="U16" i="30"/>
  <c r="L16" i="30"/>
  <c r="H16" i="30"/>
  <c r="T16" i="30"/>
  <c r="G18" i="30"/>
  <c r="V18" i="30"/>
  <c r="C20" i="30"/>
  <c r="AA20" i="30" s="1"/>
  <c r="D16" i="15"/>
  <c r="E16" i="15"/>
  <c r="H16" i="15"/>
  <c r="S19" i="30" s="1"/>
  <c r="H24" i="13"/>
  <c r="I24" i="13"/>
  <c r="K25" i="18"/>
  <c r="M25" i="18" s="1"/>
  <c r="I25" i="18"/>
  <c r="L25" i="18"/>
  <c r="N25" i="18" s="1"/>
  <c r="J25" i="18"/>
  <c r="AA28" i="18"/>
  <c r="AC28" i="18" s="1"/>
  <c r="Z29" i="18"/>
  <c r="AB29" i="18" s="1"/>
  <c r="F25" i="18"/>
  <c r="E25" i="18"/>
  <c r="B20" i="15"/>
  <c r="C19" i="15"/>
  <c r="X29" i="18"/>
  <c r="Y28" i="18"/>
  <c r="V29" i="18"/>
  <c r="G25" i="18"/>
  <c r="F17" i="15" s="1"/>
  <c r="G17" i="15"/>
  <c r="A29" i="18"/>
  <c r="U29" i="18"/>
  <c r="T30" i="18"/>
  <c r="K20" i="30" l="1"/>
  <c r="N20" i="30" s="1"/>
  <c r="J18" i="30"/>
  <c r="D21" i="30"/>
  <c r="AC21" i="30" s="1"/>
  <c r="M17" i="30"/>
  <c r="I17" i="30"/>
  <c r="U17" i="30"/>
  <c r="L17" i="30"/>
  <c r="H17" i="30"/>
  <c r="T17" i="30"/>
  <c r="G19" i="30"/>
  <c r="V19" i="30"/>
  <c r="C21" i="30"/>
  <c r="AA21" i="30" s="1"/>
  <c r="E17" i="15"/>
  <c r="H17" i="15"/>
  <c r="S20" i="30" s="1"/>
  <c r="D17" i="15"/>
  <c r="H25" i="13"/>
  <c r="I25" i="13"/>
  <c r="K26" i="18"/>
  <c r="M26" i="18" s="1"/>
  <c r="I26" i="18"/>
  <c r="L26" i="18"/>
  <c r="N26" i="18" s="1"/>
  <c r="J26" i="18"/>
  <c r="Z30" i="18"/>
  <c r="AB30" i="18" s="1"/>
  <c r="AA29" i="18"/>
  <c r="AC29" i="18" s="1"/>
  <c r="F26" i="18"/>
  <c r="E26" i="18"/>
  <c r="B21" i="15"/>
  <c r="C20" i="15"/>
  <c r="X30" i="18"/>
  <c r="Y29" i="18"/>
  <c r="V30" i="18"/>
  <c r="G26" i="18"/>
  <c r="F18" i="15" s="1"/>
  <c r="G18" i="15"/>
  <c r="A30" i="18"/>
  <c r="U30" i="18"/>
  <c r="K21" i="30" l="1"/>
  <c r="N21" i="30" s="1"/>
  <c r="G20" i="30"/>
  <c r="D22" i="30"/>
  <c r="AC22" i="30" s="1"/>
  <c r="M18" i="30"/>
  <c r="U18" i="30"/>
  <c r="I18" i="30"/>
  <c r="L18" i="30"/>
  <c r="H18" i="30"/>
  <c r="T18" i="30"/>
  <c r="J19" i="30"/>
  <c r="V20" i="30"/>
  <c r="C22" i="30"/>
  <c r="AA22" i="30" s="1"/>
  <c r="H18" i="15"/>
  <c r="S21" i="30" s="1"/>
  <c r="D18" i="15"/>
  <c r="E18" i="15"/>
  <c r="H26" i="13"/>
  <c r="I26" i="13"/>
  <c r="K27" i="18"/>
  <c r="M27" i="18" s="1"/>
  <c r="I27" i="18"/>
  <c r="L27" i="18"/>
  <c r="N27" i="18" s="1"/>
  <c r="J27" i="18"/>
  <c r="AA30" i="18"/>
  <c r="AC30" i="18" s="1"/>
  <c r="E27" i="18"/>
  <c r="F27" i="18"/>
  <c r="B22" i="15"/>
  <c r="C21" i="15"/>
  <c r="Y30" i="18"/>
  <c r="G27" i="18"/>
  <c r="F19" i="15" s="1"/>
  <c r="G19" i="15"/>
  <c r="K22" i="30" l="1"/>
  <c r="N22" i="30" s="1"/>
  <c r="I19" i="30"/>
  <c r="J20" i="30"/>
  <c r="G21" i="30"/>
  <c r="T19" i="30"/>
  <c r="H19" i="30"/>
  <c r="L19" i="30"/>
  <c r="D23" i="30"/>
  <c r="AC23" i="30" s="1"/>
  <c r="M19" i="30"/>
  <c r="U19" i="30"/>
  <c r="V21" i="30"/>
  <c r="C23" i="30"/>
  <c r="AA23" i="30" s="1"/>
  <c r="H19" i="15"/>
  <c r="S22" i="30" s="1"/>
  <c r="D19" i="15"/>
  <c r="E19" i="15"/>
  <c r="I27" i="13"/>
  <c r="H27" i="13"/>
  <c r="K28" i="18"/>
  <c r="M28" i="18" s="1"/>
  <c r="I28" i="18"/>
  <c r="L28" i="18"/>
  <c r="N28" i="18" s="1"/>
  <c r="J28" i="18"/>
  <c r="F28" i="18"/>
  <c r="E28" i="18"/>
  <c r="C22" i="15"/>
  <c r="G28" i="18"/>
  <c r="F20" i="15" s="1"/>
  <c r="G20" i="15"/>
  <c r="K23" i="30" l="1"/>
  <c r="N23" i="30" s="1"/>
  <c r="G22" i="30"/>
  <c r="J21" i="30"/>
  <c r="L20" i="30"/>
  <c r="H20" i="30"/>
  <c r="T20" i="30"/>
  <c r="D24" i="30"/>
  <c r="AC24" i="30" s="1"/>
  <c r="M20" i="30"/>
  <c r="U20" i="30"/>
  <c r="I20" i="30"/>
  <c r="V22" i="30"/>
  <c r="C24" i="30"/>
  <c r="AA24" i="30" s="1"/>
  <c r="E20" i="15"/>
  <c r="D20" i="15"/>
  <c r="H20" i="15"/>
  <c r="S23" i="30" s="1"/>
  <c r="H28" i="13"/>
  <c r="I28" i="13"/>
  <c r="K29" i="18"/>
  <c r="M29" i="18" s="1"/>
  <c r="I29" i="18"/>
  <c r="L29" i="18"/>
  <c r="N29" i="18" s="1"/>
  <c r="J29" i="18"/>
  <c r="F29" i="18"/>
  <c r="E29" i="18"/>
  <c r="G29" i="18"/>
  <c r="F21" i="15" s="1"/>
  <c r="G21" i="15"/>
  <c r="K24" i="30" l="1"/>
  <c r="N24" i="30" s="1"/>
  <c r="J22" i="30"/>
  <c r="L21" i="30"/>
  <c r="T21" i="30"/>
  <c r="H21" i="30"/>
  <c r="D25" i="30"/>
  <c r="AC25" i="30" s="1"/>
  <c r="M21" i="30"/>
  <c r="U21" i="30"/>
  <c r="I21" i="30"/>
  <c r="G23" i="30"/>
  <c r="V23" i="30"/>
  <c r="C25" i="30"/>
  <c r="AA25" i="30" s="1"/>
  <c r="D21" i="15"/>
  <c r="H21" i="15"/>
  <c r="S24" i="30" s="1"/>
  <c r="E21" i="15"/>
  <c r="H29" i="13"/>
  <c r="I29" i="13"/>
  <c r="L30" i="18"/>
  <c r="N30" i="18" s="1"/>
  <c r="J30" i="18"/>
  <c r="K30" i="18"/>
  <c r="M30" i="18" s="1"/>
  <c r="I30" i="18"/>
  <c r="F30" i="18"/>
  <c r="E30" i="18"/>
  <c r="G30" i="18"/>
  <c r="F22" i="15" s="1"/>
  <c r="G22" i="15"/>
  <c r="K25" i="30" l="1"/>
  <c r="N25" i="30" s="1"/>
  <c r="J23" i="30"/>
  <c r="L22" i="30"/>
  <c r="H22" i="30"/>
  <c r="T22" i="30"/>
  <c r="M22" i="30"/>
  <c r="I22" i="30"/>
  <c r="U22" i="30"/>
  <c r="G24" i="30"/>
  <c r="V24" i="30"/>
  <c r="E22" i="15"/>
  <c r="H22" i="15"/>
  <c r="S25" i="30" s="1"/>
  <c r="D22" i="15"/>
  <c r="H30" i="13"/>
  <c r="I30" i="13"/>
  <c r="J24" i="30" l="1"/>
  <c r="L23" i="30"/>
  <c r="T23" i="30"/>
  <c r="H23" i="30"/>
  <c r="M23" i="30"/>
  <c r="I23" i="30"/>
  <c r="U23" i="30"/>
  <c r="G25" i="30"/>
  <c r="V25" i="30"/>
  <c r="I31" i="13"/>
  <c r="H31" i="13"/>
  <c r="J25" i="30" l="1"/>
  <c r="L24" i="30"/>
  <c r="T24" i="30"/>
  <c r="H24" i="30"/>
  <c r="I24" i="30"/>
  <c r="M24" i="30"/>
  <c r="U24" i="30"/>
  <c r="H32" i="13"/>
  <c r="I32" i="13"/>
  <c r="L25" i="30" l="1"/>
  <c r="T25" i="30"/>
  <c r="H25" i="30"/>
  <c r="M25" i="30"/>
  <c r="I25" i="30"/>
  <c r="U25" i="30"/>
  <c r="H33" i="13"/>
  <c r="I33" i="13"/>
  <c r="H34" i="13" l="1"/>
  <c r="I34" i="13"/>
  <c r="I35" i="13" l="1"/>
  <c r="H35" i="13"/>
  <c r="H36" i="13" l="1"/>
  <c r="I36" i="13"/>
  <c r="H37" i="13" l="1"/>
  <c r="I37" i="13"/>
  <c r="AC26" i="30" l="1"/>
  <c r="AA26" i="30"/>
  <c r="G8" i="20" l="1"/>
  <c r="C26" i="30"/>
  <c r="D26" i="30"/>
  <c r="S26" i="30" l="1"/>
  <c r="K26" i="30"/>
  <c r="G9" i="20"/>
  <c r="M26" i="30"/>
  <c r="E23" i="15"/>
  <c r="E24" i="15" s="1"/>
  <c r="G23" i="15"/>
  <c r="G24" i="15" s="1"/>
  <c r="D23" i="15"/>
  <c r="H23" i="15"/>
  <c r="H24" i="15" s="1"/>
  <c r="F23" i="15"/>
  <c r="F24" i="15" s="1"/>
  <c r="L26" i="30" l="1"/>
  <c r="G4" i="20" s="1"/>
  <c r="G26" i="30"/>
  <c r="N26" i="30"/>
  <c r="U26" i="30"/>
  <c r="V26" i="30"/>
  <c r="T26" i="30"/>
  <c r="G6" i="20" s="1"/>
  <c r="D24" i="15"/>
  <c r="J26" i="30" l="1"/>
  <c r="H26" i="30"/>
  <c r="G3" i="20" s="1"/>
  <c r="I26" i="30"/>
  <c r="G16" i="20" l="1"/>
  <c r="G18" i="20" l="1"/>
  <c r="G15" i="20"/>
  <c r="M5" i="32" l="1"/>
  <c r="O7" i="30" s="1"/>
  <c r="P7" i="30" l="1"/>
  <c r="Q7" i="30"/>
  <c r="R7" i="30"/>
  <c r="Z7" i="30"/>
  <c r="M7" i="32"/>
  <c r="O9" i="30" s="1"/>
  <c r="M6" i="32"/>
  <c r="O8" i="30" s="1"/>
  <c r="P9" i="30" l="1"/>
  <c r="AB9" i="30" s="1"/>
  <c r="R9" i="30"/>
  <c r="AF9" i="30" s="1"/>
  <c r="Q9" i="30"/>
  <c r="AD9" i="30" s="1"/>
  <c r="Q8" i="30"/>
  <c r="AD8" i="30" s="1"/>
  <c r="P8" i="30"/>
  <c r="AB8" i="30" s="1"/>
  <c r="R8" i="30"/>
  <c r="AF8" i="30" s="1"/>
  <c r="AB7" i="30"/>
  <c r="Z8" i="30"/>
  <c r="AF7" i="30"/>
  <c r="Z9" i="30"/>
  <c r="AD7" i="30"/>
  <c r="M8" i="32"/>
  <c r="O10" i="30" s="1"/>
  <c r="Q10" i="30" l="1"/>
  <c r="AD10" i="30" s="1"/>
  <c r="P10" i="30"/>
  <c r="R10" i="30"/>
  <c r="AF10" i="30" s="1"/>
  <c r="Z10" i="30"/>
  <c r="M9" i="32"/>
  <c r="O11" i="30" s="1"/>
  <c r="P11" i="30" l="1"/>
  <c r="AB11" i="30" s="1"/>
  <c r="Q11" i="30"/>
  <c r="R11" i="30"/>
  <c r="Z11" i="30"/>
  <c r="AB10" i="30"/>
  <c r="M10" i="32"/>
  <c r="O12" i="30" s="1"/>
  <c r="Q12" i="30" l="1"/>
  <c r="AD12" i="30" s="1"/>
  <c r="P12" i="30"/>
  <c r="R12" i="30"/>
  <c r="AF12" i="30" s="1"/>
  <c r="Z12" i="30"/>
  <c r="AF11" i="30"/>
  <c r="AD11" i="30"/>
  <c r="M12" i="32"/>
  <c r="O14" i="30" s="1"/>
  <c r="M11" i="32"/>
  <c r="O13" i="30" s="1"/>
  <c r="P13" i="30" l="1"/>
  <c r="AB13" i="30" s="1"/>
  <c r="Q13" i="30"/>
  <c r="R13" i="30"/>
  <c r="Q14" i="30"/>
  <c r="AD14" i="30" s="1"/>
  <c r="P14" i="30"/>
  <c r="AB14" i="30" s="1"/>
  <c r="R14" i="30"/>
  <c r="AF14" i="30" s="1"/>
  <c r="Z14" i="30"/>
  <c r="AB12" i="30"/>
  <c r="Z13" i="30"/>
  <c r="M13" i="32"/>
  <c r="O15" i="30" s="1"/>
  <c r="P15" i="30" l="1"/>
  <c r="AB15" i="30" s="1"/>
  <c r="R15" i="30"/>
  <c r="AF15" i="30" s="1"/>
  <c r="Q15" i="30"/>
  <c r="AD15" i="30" s="1"/>
  <c r="AF13" i="30"/>
  <c r="Z15" i="30"/>
  <c r="AD13" i="30"/>
  <c r="M14" i="32"/>
  <c r="O16" i="30" s="1"/>
  <c r="Q16" i="30" l="1"/>
  <c r="P16" i="30"/>
  <c r="R16" i="30"/>
  <c r="AF16" i="30" s="1"/>
  <c r="Z16" i="30"/>
  <c r="M15" i="32"/>
  <c r="O17" i="30" s="1"/>
  <c r="P17" i="30" l="1"/>
  <c r="AB17" i="30" s="1"/>
  <c r="Q17" i="30"/>
  <c r="AD17" i="30" s="1"/>
  <c r="R17" i="30"/>
  <c r="AF17" i="30" s="1"/>
  <c r="Z17" i="30"/>
  <c r="AB16" i="30"/>
  <c r="AD16" i="30"/>
  <c r="M16" i="32"/>
  <c r="O18" i="30" s="1"/>
  <c r="Q18" i="30" l="1"/>
  <c r="AD18" i="30" s="1"/>
  <c r="P18" i="30"/>
  <c r="AB18" i="30" s="1"/>
  <c r="R18" i="30"/>
  <c r="AF18" i="30" s="1"/>
  <c r="Z18" i="30"/>
  <c r="M17" i="32"/>
  <c r="O19" i="30" s="1"/>
  <c r="P19" i="30" l="1"/>
  <c r="AB19" i="30" s="1"/>
  <c r="R19" i="30"/>
  <c r="AF19" i="30" s="1"/>
  <c r="Q19" i="30"/>
  <c r="AD19" i="30" s="1"/>
  <c r="Z19" i="30"/>
  <c r="M18" i="32"/>
  <c r="O20" i="30" s="1"/>
  <c r="Q20" i="30" l="1"/>
  <c r="AD20" i="30" s="1"/>
  <c r="P20" i="30"/>
  <c r="AB20" i="30" s="1"/>
  <c r="R20" i="30"/>
  <c r="AF20" i="30" s="1"/>
  <c r="Z20" i="30"/>
  <c r="M19" i="32"/>
  <c r="O21" i="30" s="1"/>
  <c r="P21" i="30" l="1"/>
  <c r="AB21" i="30" s="1"/>
  <c r="R21" i="30"/>
  <c r="AF21" i="30" s="1"/>
  <c r="Q21" i="30"/>
  <c r="AD21" i="30" s="1"/>
  <c r="Z21" i="30"/>
  <c r="M20" i="32"/>
  <c r="O22" i="30" s="1"/>
  <c r="Q22" i="30" l="1"/>
  <c r="AD22" i="30" s="1"/>
  <c r="P22" i="30"/>
  <c r="AB22" i="30" s="1"/>
  <c r="R22" i="30"/>
  <c r="AF22" i="30" s="1"/>
  <c r="Z22" i="30"/>
  <c r="M21" i="32"/>
  <c r="O23" i="30" s="1"/>
  <c r="P23" i="30" l="1"/>
  <c r="AB23" i="30" s="1"/>
  <c r="R23" i="30"/>
  <c r="AF23" i="30" s="1"/>
  <c r="Q23" i="30"/>
  <c r="AD23" i="30" s="1"/>
  <c r="Z23" i="30"/>
  <c r="M22" i="32"/>
  <c r="O24" i="30" s="1"/>
  <c r="Q24" i="30" l="1"/>
  <c r="AD24" i="30" s="1"/>
  <c r="P24" i="30"/>
  <c r="AB24" i="30" s="1"/>
  <c r="R24" i="30"/>
  <c r="AF24" i="30" s="1"/>
  <c r="Z24" i="30"/>
  <c r="M23" i="32"/>
  <c r="O25" i="30" s="1"/>
  <c r="P25" i="30" l="1"/>
  <c r="AB25" i="30" s="1"/>
  <c r="Q25" i="30"/>
  <c r="AD25" i="30" s="1"/>
  <c r="R25" i="30"/>
  <c r="AF25" i="30" s="1"/>
  <c r="Z25" i="30"/>
  <c r="L24" i="32" l="1"/>
  <c r="K24" i="32" l="1"/>
  <c r="O26" i="30" l="1"/>
  <c r="Z26" i="30" s="1"/>
  <c r="M24" i="32"/>
  <c r="AD26" i="30" l="1"/>
  <c r="Q26" i="30"/>
  <c r="AB26" i="30"/>
  <c r="P26" i="30"/>
  <c r="G5" i="20" s="1"/>
  <c r="G7" i="20" s="1"/>
  <c r="AF26" i="30"/>
  <c r="R26" i="30"/>
  <c r="Z28" i="30"/>
  <c r="Z27" i="30"/>
  <c r="G17" i="20"/>
  <c r="G19" i="20" s="1"/>
  <c r="G23" i="20" s="1"/>
  <c r="G10" i="20" l="1"/>
  <c r="G11" i="20"/>
  <c r="AF28" i="30"/>
  <c r="AF27" i="30"/>
  <c r="AB28" i="30"/>
  <c r="AB27" i="30"/>
  <c r="G22" i="20"/>
  <c r="AD28" i="30" l="1"/>
  <c r="AD27" i="30"/>
</calcChain>
</file>

<file path=xl/sharedStrings.xml><?xml version="1.0" encoding="utf-8"?>
<sst xmlns="http://schemas.openxmlformats.org/spreadsheetml/2006/main" count="961" uniqueCount="427">
  <si>
    <t>Crew Cost Factor ($/hr per crew member)</t>
  </si>
  <si>
    <t>Time/Value Factors</t>
  </si>
  <si>
    <t>Per Vehicle Cost Factors</t>
  </si>
  <si>
    <t>Crew per Vehicle</t>
  </si>
  <si>
    <t>Passengers per Vehicle</t>
  </si>
  <si>
    <t>Construction</t>
  </si>
  <si>
    <t>Total Benefits</t>
  </si>
  <si>
    <t>Total Costs</t>
  </si>
  <si>
    <t>Truck</t>
  </si>
  <si>
    <t>Total</t>
  </si>
  <si>
    <t>Operation Start Year</t>
  </si>
  <si>
    <t>Passenger</t>
  </si>
  <si>
    <t>Value of Time</t>
  </si>
  <si>
    <t>Environmental Cost</t>
  </si>
  <si>
    <t>PROJECT SCENARIO</t>
  </si>
  <si>
    <t>BASELINE SCENARIO</t>
  </si>
  <si>
    <t>Net Change in Environmental Costs</t>
  </si>
  <si>
    <t>Undiscounted</t>
  </si>
  <si>
    <t>Discount Factor</t>
  </si>
  <si>
    <t>Passenger Personal Cost Factor ($/hr per occupant)</t>
  </si>
  <si>
    <t>Net Change in Passenger Operating Cost</t>
  </si>
  <si>
    <t>Net Change in Truck Operating Cost</t>
  </si>
  <si>
    <t>Environmental Cost $/Hour</t>
  </si>
  <si>
    <t>Startup Costs</t>
  </si>
  <si>
    <t>Construction Start Year</t>
  </si>
  <si>
    <t>Constant $ Year</t>
  </si>
  <si>
    <t>Discounted</t>
  </si>
  <si>
    <t>Benefits and Costs</t>
  </si>
  <si>
    <t>Vehicle Operating Cost Savings</t>
  </si>
  <si>
    <t>Safety Benefits</t>
  </si>
  <si>
    <t>Environmental Benefits</t>
  </si>
  <si>
    <t>Capital Costs</t>
  </si>
  <si>
    <t>Benefit/Cost Ratio</t>
  </si>
  <si>
    <t>Project Scenario ($M)</t>
  </si>
  <si>
    <t xml:space="preserve"> gallons</t>
  </si>
  <si>
    <t xml:space="preserve"> Operating Cost</t>
  </si>
  <si>
    <t>Operating Cost</t>
  </si>
  <si>
    <t>truck gallons per hour</t>
  </si>
  <si>
    <t>passenger gallons per hour</t>
  </si>
  <si>
    <t>truck $ per gallon</t>
  </si>
  <si>
    <t>Passenger $ per gallon</t>
  </si>
  <si>
    <t>VOC</t>
  </si>
  <si>
    <t>NOX</t>
  </si>
  <si>
    <t>SOX</t>
  </si>
  <si>
    <t>PM</t>
  </si>
  <si>
    <t>CO2</t>
  </si>
  <si>
    <t>Inputs</t>
  </si>
  <si>
    <t>Constant Dollar Year</t>
  </si>
  <si>
    <t>Project Length (Miles)</t>
  </si>
  <si>
    <t>7% Discount</t>
  </si>
  <si>
    <t>Safety Cost Savings</t>
  </si>
  <si>
    <t>Environmental Cost Savings</t>
  </si>
  <si>
    <t>Total Undiscounted Costs</t>
  </si>
  <si>
    <t>Year</t>
  </si>
  <si>
    <t>Project Costs</t>
  </si>
  <si>
    <t>TOTAL:</t>
  </si>
  <si>
    <t>Total Undiscounted Benefits</t>
  </si>
  <si>
    <t>B-C Ratio</t>
  </si>
  <si>
    <t>NPV</t>
  </si>
  <si>
    <t>Benefit-Cost Summary</t>
  </si>
  <si>
    <t>Undiscounted BCA</t>
  </si>
  <si>
    <t>Discount Factor Calculation</t>
  </si>
  <si>
    <t>BCA: 7% Discount Rate</t>
  </si>
  <si>
    <t>Total Benefits (7% Discount)</t>
  </si>
  <si>
    <t>Total Costs (7% Discount)</t>
  </si>
  <si>
    <t>Undiscounted Rate</t>
  </si>
  <si>
    <t>http://atri-online.org/wp-content/uploads/2017/10/ATRI-Operational-Costs-of-Trucking-2017-10-2017.pdf</t>
  </si>
  <si>
    <t>https://www.eia.gov/dnav/pet/pet_pri_gnd_a_epd2d_pte_dpgal_a.htm</t>
  </si>
  <si>
    <t>Emissions Rates</t>
  </si>
  <si>
    <t>Emission Costs</t>
  </si>
  <si>
    <t>Based on TREDIS Emission rates and USDOT BCA Guidance emission costs</t>
  </si>
  <si>
    <t>https://www.transportation.gov/sites/dot.gov/files/docs/mission/office-policy/transportation-policy/284031/benefit-cost-analysis-guidance-2018_0.pdf</t>
  </si>
  <si>
    <t>Value Of Time Savings</t>
  </si>
  <si>
    <t>http://www.cmfclearinghouse.org/index.cfm</t>
  </si>
  <si>
    <t>Construction Cost</t>
  </si>
  <si>
    <t>USDOT BCA Guidance Dec 2018</t>
  </si>
  <si>
    <t>TREDIS  - Assumes average speed of 50 mph</t>
  </si>
  <si>
    <t>TREDIS - Assumes average speed of 35 mph</t>
  </si>
  <si>
    <t>https://www.eia.gov/dnav/pet/pet_pri_gnd_dcus_r30_a.htm</t>
  </si>
  <si>
    <t>GDP Deflator Q1 2019 to Q1 2017</t>
  </si>
  <si>
    <t>https://apps.bea.gov/iTable/iTable.cfm?reqid=19&amp;step=2#reqid=19&amp;step=2&amp;isuri=1&amp;1921=survey&amp;1903=13</t>
  </si>
  <si>
    <t>AAA's Your Driving Cost Publication, includes maintenance, repair and tires (@ 55mph)</t>
  </si>
  <si>
    <t>Fuel Cost</t>
  </si>
  <si>
    <t>Person Hours of Delay</t>
  </si>
  <si>
    <t>Project Type</t>
  </si>
  <si>
    <t>5% Discount</t>
  </si>
  <si>
    <t>BCA: 5% Discount Rate</t>
  </si>
  <si>
    <t>Total Costs (5% Discount)</t>
  </si>
  <si>
    <t>Total Benefits (5% Discount)</t>
  </si>
  <si>
    <t>3% Discount</t>
  </si>
  <si>
    <t>BCA: 3% Discount Rate</t>
  </si>
  <si>
    <t>Total Costs (3% Discount)</t>
  </si>
  <si>
    <t>Total Benefits (3% Discount)</t>
  </si>
  <si>
    <t>3% Discount Rate</t>
  </si>
  <si>
    <t>2018$</t>
  </si>
  <si>
    <t>Growth</t>
  </si>
  <si>
    <t>CONTRACT CSJ</t>
  </si>
  <si>
    <t>CSJ</t>
  </si>
  <si>
    <t>HWY</t>
  </si>
  <si>
    <t>COUNTY</t>
  </si>
  <si>
    <t>LENGTH</t>
  </si>
  <si>
    <t>LIMITS FROM:</t>
  </si>
  <si>
    <t>LIMITS TO:</t>
  </si>
  <si>
    <t>LAYMAN'S DESCRIPTION</t>
  </si>
  <si>
    <t>CAT</t>
  </si>
  <si>
    <t>W.P.</t>
  </si>
  <si>
    <t>PRGRM_AMT</t>
  </si>
  <si>
    <t>CAT2</t>
  </si>
  <si>
    <t>W.P.2</t>
  </si>
  <si>
    <t>PRGRM_AMT2</t>
  </si>
  <si>
    <t>CAT3</t>
  </si>
  <si>
    <t>W.P.3</t>
  </si>
  <si>
    <t>PRGRM_AMT3</t>
  </si>
  <si>
    <t>CAT4</t>
  </si>
  <si>
    <t>W.P.4</t>
  </si>
  <si>
    <t>PRGRM_AMT4</t>
  </si>
  <si>
    <t>CAT5</t>
  </si>
  <si>
    <t>W.P.5</t>
  </si>
  <si>
    <t>PRGRM_AMT5</t>
  </si>
  <si>
    <t xml:space="preserve"> AUTHOR. AMOUNT </t>
  </si>
  <si>
    <t xml:space="preserve"> TOTAL EST. </t>
  </si>
  <si>
    <t>LET DATE</t>
  </si>
  <si>
    <t>TYPE</t>
  </si>
  <si>
    <t>BEG M.P.</t>
  </si>
  <si>
    <t>BRMNUM</t>
  </si>
  <si>
    <t>BDISP</t>
  </si>
  <si>
    <t>BDFO</t>
  </si>
  <si>
    <t>END M.P.</t>
  </si>
  <si>
    <t>ERMNUM</t>
  </si>
  <si>
    <t>EDSIP</t>
  </si>
  <si>
    <t>EDFO</t>
  </si>
  <si>
    <t>BLAT</t>
  </si>
  <si>
    <t>BLONG</t>
  </si>
  <si>
    <t>ELAT</t>
  </si>
  <si>
    <t>ELONG</t>
  </si>
  <si>
    <t>Cost/Mile</t>
  </si>
  <si>
    <t>Average</t>
  </si>
  <si>
    <t>Median</t>
  </si>
  <si>
    <t>PROJECTS THAT HAVE LET</t>
  </si>
  <si>
    <t>0273-02-024</t>
  </si>
  <si>
    <t>US 183</t>
  </si>
  <si>
    <t>Burnet</t>
  </si>
  <si>
    <t>LAMPASAS COUNTY LINE</t>
  </si>
  <si>
    <t>EAST OF RM 963</t>
  </si>
  <si>
    <t>CONVERT 4-LANE UNDIVIDED TO SUPER 2 WITH SHOULDERS AND INSTALL CONTINUOUS TURN LANES</t>
  </si>
  <si>
    <t xml:space="preserve">1308R  </t>
  </si>
  <si>
    <t xml:space="preserve">1301A </t>
  </si>
  <si>
    <t xml:space="preserve">    </t>
  </si>
  <si>
    <t xml:space="preserve">      </t>
  </si>
  <si>
    <t>MSC</t>
  </si>
  <si>
    <t>0715-01-022</t>
  </si>
  <si>
    <t>FM 108</t>
  </si>
  <si>
    <t>Gonzales</t>
  </si>
  <si>
    <t>Safety Treat Fixed Objects, Etc. Hazard Elim &amp; Safety</t>
  </si>
  <si>
    <t>TREAT</t>
  </si>
  <si>
    <t>FIXED</t>
  </si>
  <si>
    <t>OBJECTS,ETC</t>
  </si>
  <si>
    <t>SFT</t>
  </si>
  <si>
    <t>0150-04-047</t>
  </si>
  <si>
    <t>SH 29</t>
  </si>
  <si>
    <t>Llano</t>
  </si>
  <si>
    <t>5.5 MILES WEST OF RM 1431</t>
  </si>
  <si>
    <t>2.7 MILES WEST OF RM 1431</t>
  </si>
  <si>
    <t>CONSTRUCT SUPER 2 PASSING LANES</t>
  </si>
  <si>
    <t xml:space="preserve">1401E  </t>
  </si>
  <si>
    <t>0291-01-049</t>
  </si>
  <si>
    <t>0291-01-048</t>
  </si>
  <si>
    <t>SH 16</t>
  </si>
  <si>
    <t>Gillespie</t>
  </si>
  <si>
    <t>Boos Lane</t>
  </si>
  <si>
    <t>0.5 Mi South Morris Ranch Rd</t>
  </si>
  <si>
    <t>UPGRADE TO SUPER 2 AND ADD LEFT TURN LANES</t>
  </si>
  <si>
    <t>RES</t>
  </si>
  <si>
    <t>0.5 MI South of Morris Ranch Rd</t>
  </si>
  <si>
    <t>Kerr/Gillespie CL</t>
  </si>
  <si>
    <t xml:space="preserve">1508A  </t>
  </si>
  <si>
    <t>0253-02-030</t>
  </si>
  <si>
    <t>0253-01-055</t>
  </si>
  <si>
    <t>us 281</t>
  </si>
  <si>
    <t>Blanco</t>
  </si>
  <si>
    <t>South of RM 32</t>
  </si>
  <si>
    <t>0.422 Mi South of Koch RD</t>
  </si>
  <si>
    <t>UPGRADE TO SUPER 2 (ADD PASSING LANE)</t>
  </si>
  <si>
    <t>US 281</t>
  </si>
  <si>
    <t>0.422 Mi south Of Koch Rd</t>
  </si>
  <si>
    <t>Stallion Estates Road</t>
  </si>
  <si>
    <t>0143-06-027</t>
  </si>
  <si>
    <t>US 87</t>
  </si>
  <si>
    <t>Construct Super 2 Lane</t>
  </si>
  <si>
    <t xml:space="preserve">       </t>
  </si>
  <si>
    <t>0027-03-071</t>
  </si>
  <si>
    <t>US 90A</t>
  </si>
  <si>
    <t>Colorado</t>
  </si>
  <si>
    <t>Construct Super 2 Lanes</t>
  </si>
  <si>
    <t>0143-08-191</t>
  </si>
  <si>
    <t>DeWitt</t>
  </si>
  <si>
    <t>Construct Aux Lanes</t>
  </si>
  <si>
    <t xml:space="preserve">16B01 </t>
  </si>
  <si>
    <t>17P101</t>
  </si>
  <si>
    <t>17P104</t>
  </si>
  <si>
    <t>RER</t>
  </si>
  <si>
    <t>0117-06-045</t>
  </si>
  <si>
    <t>SH 21</t>
  </si>
  <si>
    <t>Houston</t>
  </si>
  <si>
    <t>Super 2 (Reconstruct Pvmt and Add Passing Lanes)</t>
  </si>
  <si>
    <t>OV</t>
  </si>
  <si>
    <t>0395-02-041</t>
  </si>
  <si>
    <t>SH 150</t>
  </si>
  <si>
    <t>San Jacinto</t>
  </si>
  <si>
    <t>0471-04-030</t>
  </si>
  <si>
    <t>Caldwell</t>
  </si>
  <si>
    <t>HAYS COUNTY LINE</t>
  </si>
  <si>
    <t>BASTROP COUNTY LINE</t>
  </si>
  <si>
    <t>PROVIDE SUPER 2 PASSING LANES</t>
  </si>
  <si>
    <t>FY 2020</t>
  </si>
  <si>
    <t>0471-05-038</t>
  </si>
  <si>
    <t>Bastrop</t>
  </si>
  <si>
    <t>CALDWELL COUNTY LINE</t>
  </si>
  <si>
    <t>SH 71</t>
  </si>
  <si>
    <t>0471-02-070</t>
  </si>
  <si>
    <t>Hays</t>
  </si>
  <si>
    <t>SH 80</t>
  </si>
  <si>
    <t>0150-04-049</t>
  </si>
  <si>
    <t>RM 1431</t>
  </si>
  <si>
    <t>0150-04-048</t>
  </si>
  <si>
    <t>3.8 MILES EAST OF RM 2241</t>
  </si>
  <si>
    <t>FY 2021</t>
  </si>
  <si>
    <t>0809-03-040</t>
  </si>
  <si>
    <t>US 96</t>
  </si>
  <si>
    <t>San Augustine</t>
  </si>
  <si>
    <t>Super 2 (Construct new roadway lanes)</t>
  </si>
  <si>
    <t>0200-02-039</t>
  </si>
  <si>
    <t>US 69</t>
  </si>
  <si>
    <t>Angelina</t>
  </si>
  <si>
    <t>2 Lane to 4 Lane Divided Rural</t>
  </si>
  <si>
    <t>0200-02-031</t>
  </si>
  <si>
    <t>2 Lane to 4 Lane Divided</t>
  </si>
  <si>
    <t>SP2</t>
  </si>
  <si>
    <t>0200-03-021</t>
  </si>
  <si>
    <t>0143-08-097</t>
  </si>
  <si>
    <t>Widen Roadway for TWLTL</t>
  </si>
  <si>
    <t xml:space="preserve">15P104 </t>
  </si>
  <si>
    <t>0266-05-048</t>
  </si>
  <si>
    <t>Wharton</t>
  </si>
  <si>
    <t>Add 2 Lanes for 4-Lane Undivided</t>
  </si>
  <si>
    <r>
      <rPr>
        <b/>
        <sz val="10"/>
        <rFont val="Times New Roman"/>
        <family val="1"/>
      </rPr>
      <t>MONTH</t>
    </r>
  </si>
  <si>
    <r>
      <rPr>
        <b/>
        <sz val="10"/>
        <rFont val="Times New Roman"/>
        <family val="1"/>
      </rPr>
      <t xml:space="preserve">TWELVE MONTH MOVING
</t>
    </r>
    <r>
      <rPr>
        <b/>
        <sz val="10"/>
        <rFont val="Times New Roman"/>
        <family val="1"/>
      </rPr>
      <t>AVERAGE</t>
    </r>
  </si>
  <si>
    <r>
      <rPr>
        <sz val="10"/>
        <rFont val="Times New Roman"/>
        <family val="1"/>
      </rPr>
      <t>Dec 2013</t>
    </r>
  </si>
  <si>
    <r>
      <rPr>
        <sz val="10"/>
        <rFont val="Times New Roman"/>
        <family val="1"/>
      </rPr>
      <t>Jan 2014</t>
    </r>
  </si>
  <si>
    <r>
      <rPr>
        <sz val="10"/>
        <rFont val="Times New Roman"/>
        <family val="1"/>
      </rPr>
      <t>Feb 2014</t>
    </r>
  </si>
  <si>
    <r>
      <rPr>
        <sz val="10"/>
        <rFont val="Times New Roman"/>
        <family val="1"/>
      </rPr>
      <t>Mar 2014</t>
    </r>
  </si>
  <si>
    <r>
      <rPr>
        <sz val="10"/>
        <rFont val="Times New Roman"/>
        <family val="1"/>
      </rPr>
      <t>Apr 2014</t>
    </r>
  </si>
  <si>
    <r>
      <rPr>
        <sz val="10"/>
        <rFont val="Times New Roman"/>
        <family val="1"/>
      </rPr>
      <t>May 2014</t>
    </r>
  </si>
  <si>
    <r>
      <rPr>
        <sz val="10"/>
        <rFont val="Times New Roman"/>
        <family val="1"/>
      </rPr>
      <t>Jun 2014</t>
    </r>
  </si>
  <si>
    <r>
      <rPr>
        <sz val="10"/>
        <rFont val="Times New Roman"/>
        <family val="1"/>
      </rPr>
      <t>Jul 2014</t>
    </r>
  </si>
  <si>
    <r>
      <rPr>
        <sz val="10"/>
        <rFont val="Times New Roman"/>
        <family val="1"/>
      </rPr>
      <t>Aug 2014</t>
    </r>
  </si>
  <si>
    <r>
      <rPr>
        <sz val="10"/>
        <rFont val="Times New Roman"/>
        <family val="1"/>
      </rPr>
      <t>Sep 2014</t>
    </r>
  </si>
  <si>
    <r>
      <rPr>
        <sz val="10"/>
        <rFont val="Times New Roman"/>
        <family val="1"/>
      </rPr>
      <t>Oct 2014</t>
    </r>
  </si>
  <si>
    <r>
      <rPr>
        <sz val="10"/>
        <rFont val="Times New Roman"/>
        <family val="1"/>
      </rPr>
      <t>Nov 2014</t>
    </r>
  </si>
  <si>
    <r>
      <rPr>
        <sz val="10"/>
        <rFont val="Times New Roman"/>
        <family val="1"/>
      </rPr>
      <t>Dec 2014</t>
    </r>
  </si>
  <si>
    <r>
      <rPr>
        <sz val="10"/>
        <rFont val="Times New Roman"/>
        <family val="1"/>
      </rPr>
      <t>Jan 2015</t>
    </r>
  </si>
  <si>
    <r>
      <rPr>
        <sz val="10"/>
        <rFont val="Times New Roman"/>
        <family val="1"/>
      </rPr>
      <t>Feb 2015</t>
    </r>
  </si>
  <si>
    <r>
      <rPr>
        <sz val="10"/>
        <rFont val="Times New Roman"/>
        <family val="1"/>
      </rPr>
      <t>Mar 2015</t>
    </r>
  </si>
  <si>
    <r>
      <rPr>
        <sz val="10"/>
        <rFont val="Times New Roman"/>
        <family val="1"/>
      </rPr>
      <t>Apr 2015</t>
    </r>
  </si>
  <si>
    <r>
      <rPr>
        <sz val="10"/>
        <rFont val="Times New Roman"/>
        <family val="1"/>
      </rPr>
      <t>May 2015</t>
    </r>
  </si>
  <si>
    <r>
      <rPr>
        <sz val="10"/>
        <rFont val="Times New Roman"/>
        <family val="1"/>
      </rPr>
      <t>Jun 2015</t>
    </r>
  </si>
  <si>
    <r>
      <rPr>
        <sz val="10"/>
        <rFont val="Times New Roman"/>
        <family val="1"/>
      </rPr>
      <t>Jul 2015</t>
    </r>
  </si>
  <si>
    <r>
      <rPr>
        <sz val="10"/>
        <rFont val="Times New Roman"/>
        <family val="1"/>
      </rPr>
      <t>Aug 2015</t>
    </r>
  </si>
  <si>
    <r>
      <rPr>
        <sz val="10"/>
        <rFont val="Times New Roman"/>
        <family val="1"/>
      </rPr>
      <t>Sep 2015</t>
    </r>
  </si>
  <si>
    <r>
      <rPr>
        <sz val="10"/>
        <rFont val="Times New Roman"/>
        <family val="1"/>
      </rPr>
      <t>Oct 2015</t>
    </r>
  </si>
  <si>
    <r>
      <rPr>
        <sz val="10"/>
        <rFont val="Times New Roman"/>
        <family val="1"/>
      </rPr>
      <t>Nov 2015</t>
    </r>
  </si>
  <si>
    <r>
      <rPr>
        <sz val="10"/>
        <rFont val="Times New Roman"/>
        <family val="1"/>
      </rPr>
      <t>Dec 2015</t>
    </r>
  </si>
  <si>
    <r>
      <rPr>
        <sz val="10"/>
        <rFont val="Times New Roman"/>
        <family val="1"/>
      </rPr>
      <t>Jan 2016</t>
    </r>
  </si>
  <si>
    <r>
      <rPr>
        <sz val="10"/>
        <rFont val="Times New Roman"/>
        <family val="1"/>
      </rPr>
      <t>Feb 2016</t>
    </r>
  </si>
  <si>
    <r>
      <rPr>
        <sz val="10"/>
        <rFont val="Times New Roman"/>
        <family val="1"/>
      </rPr>
      <t>Mar 2016</t>
    </r>
  </si>
  <si>
    <r>
      <rPr>
        <sz val="10"/>
        <rFont val="Times New Roman"/>
        <family val="1"/>
      </rPr>
      <t>Apr 2016</t>
    </r>
  </si>
  <si>
    <r>
      <rPr>
        <sz val="10"/>
        <rFont val="Times New Roman"/>
        <family val="1"/>
      </rPr>
      <t>May 2016</t>
    </r>
  </si>
  <si>
    <r>
      <rPr>
        <sz val="10"/>
        <rFont val="Times New Roman"/>
        <family val="1"/>
      </rPr>
      <t>Jun 2016</t>
    </r>
  </si>
  <si>
    <r>
      <rPr>
        <sz val="10"/>
        <rFont val="Times New Roman"/>
        <family val="1"/>
      </rPr>
      <t>Jul 2016</t>
    </r>
  </si>
  <si>
    <r>
      <rPr>
        <sz val="10"/>
        <rFont val="Times New Roman"/>
        <family val="1"/>
      </rPr>
      <t>Aug 2016</t>
    </r>
  </si>
  <si>
    <r>
      <rPr>
        <sz val="10"/>
        <rFont val="Times New Roman"/>
        <family val="1"/>
      </rPr>
      <t>Sep 2016</t>
    </r>
  </si>
  <si>
    <r>
      <rPr>
        <sz val="10"/>
        <rFont val="Times New Roman"/>
        <family val="1"/>
      </rPr>
      <t>Oct 2016</t>
    </r>
  </si>
  <si>
    <r>
      <rPr>
        <sz val="10"/>
        <rFont val="Times New Roman"/>
        <family val="1"/>
      </rPr>
      <t>Nov 2016</t>
    </r>
  </si>
  <si>
    <r>
      <rPr>
        <sz val="10"/>
        <rFont val="Times New Roman"/>
        <family val="1"/>
      </rPr>
      <t>Dec 2016</t>
    </r>
  </si>
  <si>
    <r>
      <rPr>
        <sz val="10"/>
        <rFont val="Times New Roman"/>
        <family val="1"/>
      </rPr>
      <t>Jan 2017</t>
    </r>
  </si>
  <si>
    <r>
      <rPr>
        <sz val="10"/>
        <rFont val="Times New Roman"/>
        <family val="1"/>
      </rPr>
      <t>Feb 2017</t>
    </r>
  </si>
  <si>
    <r>
      <rPr>
        <sz val="10"/>
        <rFont val="Times New Roman"/>
        <family val="1"/>
      </rPr>
      <t>Mar 2017</t>
    </r>
  </si>
  <si>
    <r>
      <rPr>
        <sz val="10"/>
        <rFont val="Times New Roman"/>
        <family val="1"/>
      </rPr>
      <t>Apr 2017</t>
    </r>
  </si>
  <si>
    <r>
      <rPr>
        <sz val="10"/>
        <rFont val="Times New Roman"/>
        <family val="1"/>
      </rPr>
      <t>May 2017</t>
    </r>
  </si>
  <si>
    <r>
      <rPr>
        <sz val="10"/>
        <rFont val="Times New Roman"/>
        <family val="1"/>
      </rPr>
      <t>Jun 2017</t>
    </r>
  </si>
  <si>
    <r>
      <rPr>
        <sz val="10"/>
        <rFont val="Times New Roman"/>
        <family val="1"/>
      </rPr>
      <t>Jul 2017</t>
    </r>
  </si>
  <si>
    <r>
      <rPr>
        <sz val="10"/>
        <rFont val="Times New Roman"/>
        <family val="1"/>
      </rPr>
      <t>Aug 2017</t>
    </r>
  </si>
  <si>
    <r>
      <rPr>
        <sz val="10"/>
        <rFont val="Times New Roman"/>
        <family val="1"/>
      </rPr>
      <t>Sep 2017</t>
    </r>
  </si>
  <si>
    <r>
      <rPr>
        <sz val="10"/>
        <rFont val="Times New Roman"/>
        <family val="1"/>
      </rPr>
      <t>Oct 2017</t>
    </r>
  </si>
  <si>
    <r>
      <rPr>
        <sz val="10"/>
        <rFont val="Times New Roman"/>
        <family val="1"/>
      </rPr>
      <t>Nov 2017</t>
    </r>
  </si>
  <si>
    <r>
      <rPr>
        <sz val="10"/>
        <rFont val="Times New Roman"/>
        <family val="1"/>
      </rPr>
      <t>Dec 2017</t>
    </r>
  </si>
  <si>
    <r>
      <rPr>
        <sz val="10"/>
        <rFont val="Times New Roman"/>
        <family val="1"/>
      </rPr>
      <t>Jan 2018</t>
    </r>
  </si>
  <si>
    <r>
      <rPr>
        <sz val="10"/>
        <rFont val="Times New Roman"/>
        <family val="1"/>
      </rPr>
      <t>Feb 2018</t>
    </r>
  </si>
  <si>
    <r>
      <rPr>
        <sz val="10"/>
        <rFont val="Times New Roman"/>
        <family val="1"/>
      </rPr>
      <t>Mar 2018</t>
    </r>
  </si>
  <si>
    <r>
      <rPr>
        <sz val="10"/>
        <rFont val="Times New Roman"/>
        <family val="1"/>
      </rPr>
      <t>Apr 2018</t>
    </r>
  </si>
  <si>
    <r>
      <rPr>
        <sz val="10"/>
        <rFont val="Times New Roman"/>
        <family val="1"/>
      </rPr>
      <t>May 2018</t>
    </r>
  </si>
  <si>
    <r>
      <rPr>
        <sz val="10"/>
        <rFont val="Times New Roman"/>
        <family val="1"/>
      </rPr>
      <t>Jun 2018</t>
    </r>
  </si>
  <si>
    <r>
      <rPr>
        <sz val="10"/>
        <rFont val="Times New Roman"/>
        <family val="1"/>
      </rPr>
      <t>Jul 2018</t>
    </r>
  </si>
  <si>
    <r>
      <rPr>
        <sz val="10"/>
        <rFont val="Times New Roman"/>
        <family val="1"/>
      </rPr>
      <t>Aug 2018</t>
    </r>
  </si>
  <si>
    <r>
      <rPr>
        <sz val="10"/>
        <rFont val="Times New Roman"/>
        <family val="1"/>
      </rPr>
      <t>Sep 2018</t>
    </r>
  </si>
  <si>
    <r>
      <rPr>
        <sz val="10"/>
        <rFont val="Times New Roman"/>
        <family val="1"/>
      </rPr>
      <t>Oct 2018</t>
    </r>
  </si>
  <si>
    <r>
      <rPr>
        <sz val="10"/>
        <rFont val="Times New Roman"/>
        <family val="1"/>
      </rPr>
      <t>Nov 2018</t>
    </r>
  </si>
  <si>
    <r>
      <rPr>
        <sz val="10"/>
        <rFont val="Times New Roman"/>
        <family val="1"/>
      </rPr>
      <t>Dec 2018</t>
    </r>
  </si>
  <si>
    <r>
      <rPr>
        <sz val="10"/>
        <rFont val="Times New Roman"/>
        <family val="1"/>
      </rPr>
      <t>Jan 2019</t>
    </r>
  </si>
  <si>
    <r>
      <rPr>
        <sz val="10"/>
        <rFont val="Times New Roman"/>
        <family val="1"/>
      </rPr>
      <t>Feb 2019</t>
    </r>
  </si>
  <si>
    <r>
      <rPr>
        <sz val="10"/>
        <rFont val="Times New Roman"/>
        <family val="1"/>
      </rPr>
      <t>Mar 2019</t>
    </r>
  </si>
  <si>
    <r>
      <rPr>
        <sz val="10"/>
        <rFont val="Times New Roman"/>
        <family val="1"/>
      </rPr>
      <t>Apr 2019</t>
    </r>
  </si>
  <si>
    <r>
      <rPr>
        <sz val="10"/>
        <rFont val="Times New Roman"/>
        <family val="1"/>
      </rPr>
      <t>May 2019</t>
    </r>
  </si>
  <si>
    <r>
      <rPr>
        <sz val="10"/>
        <rFont val="Times New Roman"/>
        <family val="1"/>
      </rPr>
      <t>Jun 2019</t>
    </r>
  </si>
  <si>
    <r>
      <rPr>
        <sz val="10"/>
        <rFont val="Times New Roman"/>
        <family val="1"/>
      </rPr>
      <t>Jul 2019</t>
    </r>
  </si>
  <si>
    <r>
      <rPr>
        <sz val="10"/>
        <rFont val="Times New Roman"/>
        <family val="1"/>
      </rPr>
      <t>Aug 2019</t>
    </r>
  </si>
  <si>
    <r>
      <rPr>
        <sz val="10"/>
        <rFont val="Times New Roman"/>
        <family val="1"/>
      </rPr>
      <t>Sep 2019</t>
    </r>
  </si>
  <si>
    <r>
      <rPr>
        <sz val="10"/>
        <rFont val="Times New Roman"/>
        <family val="1"/>
      </rPr>
      <t>Oct 2019</t>
    </r>
  </si>
  <si>
    <r>
      <rPr>
        <sz val="10"/>
        <rFont val="Times New Roman"/>
        <family val="1"/>
      </rPr>
      <t>Nov 2019</t>
    </r>
  </si>
  <si>
    <r>
      <rPr>
        <sz val="10"/>
        <rFont val="Times New Roman"/>
        <family val="1"/>
      </rPr>
      <t>Dec 2019</t>
    </r>
  </si>
  <si>
    <r>
      <rPr>
        <sz val="10"/>
        <rFont val="Times New Roman"/>
        <family val="1"/>
      </rPr>
      <t>Jan 2020</t>
    </r>
  </si>
  <si>
    <r>
      <rPr>
        <sz val="10"/>
        <rFont val="Times New Roman"/>
        <family val="1"/>
      </rPr>
      <t>Feb 2020</t>
    </r>
  </si>
  <si>
    <r>
      <rPr>
        <sz val="10"/>
        <rFont val="Times New Roman"/>
        <family val="1"/>
      </rPr>
      <t>Mar 2020</t>
    </r>
  </si>
  <si>
    <r>
      <rPr>
        <sz val="10"/>
        <rFont val="Times New Roman"/>
        <family val="1"/>
      </rPr>
      <t>Apr 2020</t>
    </r>
  </si>
  <si>
    <t>2S</t>
  </si>
  <si>
    <t>4D</t>
  </si>
  <si>
    <t>4U</t>
  </si>
  <si>
    <t>2U+LT</t>
  </si>
  <si>
    <t>4 Lane Undivided</t>
  </si>
  <si>
    <t>4 Lane Divided</t>
  </si>
  <si>
    <t>Estimated Project Cost</t>
  </si>
  <si>
    <t>Known Project Cost Override</t>
  </si>
  <si>
    <t>Growth Rate</t>
  </si>
  <si>
    <t>Hours of Delay</t>
  </si>
  <si>
    <t>Hours of Delay (Passenger Vehicles)</t>
  </si>
  <si>
    <t>Hours of Delay (Trucks)</t>
  </si>
  <si>
    <t>Passenger Cost Factor ($/hr per occupant)</t>
  </si>
  <si>
    <t>USDOT BCA Guidance Jan 2020</t>
  </si>
  <si>
    <t>environmental cost/ hr (Truck)</t>
  </si>
  <si>
    <t>environmental cost/ hr (Passenger)</t>
  </si>
  <si>
    <t>VOC (Truck)</t>
  </si>
  <si>
    <t>NOX (Truck)</t>
  </si>
  <si>
    <t>SOX (Truck)</t>
  </si>
  <si>
    <t>PM (Truck)</t>
  </si>
  <si>
    <t>VOC (Passenger)</t>
  </si>
  <si>
    <t>NOX (Passenger)</t>
  </si>
  <si>
    <t>SOX (Passenger)</t>
  </si>
  <si>
    <t>PM (Passenger)</t>
  </si>
  <si>
    <t>Crew per Truck</t>
  </si>
  <si>
    <t>Environmental Cost $/Hour (Truck)</t>
  </si>
  <si>
    <t>Environmental Cost $/Hour (Passenger)</t>
  </si>
  <si>
    <t>Vehicle Operating Cost ($/hr) (Truck)</t>
  </si>
  <si>
    <t>Vehicle Operating Cost ($/hr) (Passenger)</t>
  </si>
  <si>
    <t>Net Change in Truck Value Of Time</t>
  </si>
  <si>
    <t>Net Change in Passenger Value Of Time</t>
  </si>
  <si>
    <t>VEH(ALL)</t>
  </si>
  <si>
    <t>DELAYTOT(CAR)</t>
  </si>
  <si>
    <t>DELAYTOT(TRK)</t>
  </si>
  <si>
    <t>Medium</t>
  </si>
  <si>
    <t>High</t>
  </si>
  <si>
    <t>Low</t>
  </si>
  <si>
    <t>Percent Trucks</t>
  </si>
  <si>
    <t>Percent Truck Options:</t>
  </si>
  <si>
    <t>Super 2 (2 mi passing lane/3 passing lanes)</t>
  </si>
  <si>
    <t>Super 2 (2 mi passing lane/6 passing lanes)</t>
  </si>
  <si>
    <t>Super 2 (3 mi passing lane/3 passing lanes)</t>
  </si>
  <si>
    <t>Super 2 (3 mi passing lane/6 passing lanes)</t>
  </si>
  <si>
    <t>2S-23</t>
  </si>
  <si>
    <t>2S-33</t>
  </si>
  <si>
    <t>2S-26</t>
  </si>
  <si>
    <t>2S-36</t>
  </si>
  <si>
    <t>Super 2 with 2 mile long passing lanes X3</t>
  </si>
  <si>
    <t>Super 2 with 2 mile long passing lanes X6</t>
  </si>
  <si>
    <t>Super 2 with 3 mile long passing lanes X3</t>
  </si>
  <si>
    <t>Super 2 with 3 mile long passing lanes X6</t>
  </si>
  <si>
    <t>2 Lane Undivided with Left Turn Lane</t>
  </si>
  <si>
    <t>20% Truck</t>
  </si>
  <si>
    <t>30% Truck</t>
  </si>
  <si>
    <t>40% Truck</t>
  </si>
  <si>
    <t>Base Case</t>
  </si>
  <si>
    <t>2U</t>
  </si>
  <si>
    <t>2ULT</t>
  </si>
  <si>
    <t>ADT</t>
  </si>
  <si>
    <t>Convert 2 lane rdwy to 4 lane divided rdwy</t>
  </si>
  <si>
    <t>Installation of passing relief lane</t>
  </si>
  <si>
    <t>VMT</t>
  </si>
  <si>
    <t>Injured Persons per 100M VMT (National Rate 2017)</t>
  </si>
  <si>
    <t>https://cdan.nhtsa.gov/tsftables/tsfar.htm#</t>
  </si>
  <si>
    <t>https://safety.fhwa.dot.gov/hsip/docs/fhwasa17071.pdf</t>
  </si>
  <si>
    <t>Injury Crash</t>
  </si>
  <si>
    <t>Fatal Crash</t>
  </si>
  <si>
    <t>Fatal</t>
  </si>
  <si>
    <t>Injury</t>
  </si>
  <si>
    <t>Reduction in Crashes</t>
  </si>
  <si>
    <t>Base Crashes</t>
  </si>
  <si>
    <t>Fatalities</t>
  </si>
  <si>
    <t>Injuries</t>
  </si>
  <si>
    <t>ADT Options:</t>
  </si>
  <si>
    <t>Fatalities per 100M VMT (2017)</t>
  </si>
  <si>
    <t>Traffic Growth Rate</t>
  </si>
  <si>
    <t>Project Type Descriptions:</t>
  </si>
  <si>
    <t>Reduction in Safety Benefits</t>
  </si>
  <si>
    <t>Covert Injuries/Fatalities to Crashes</t>
  </si>
  <si>
    <t>ID: 7566</t>
  </si>
  <si>
    <t>ID: 4858</t>
  </si>
  <si>
    <t>ATRI Hourly cost value less fuel costs, driver wages, and driver benefits 2018 (2019 publication)</t>
  </si>
  <si>
    <t>Present Value (M 2018$)</t>
  </si>
  <si>
    <t>Base Case 2 Lane Undivided</t>
  </si>
  <si>
    <t>Notes:</t>
  </si>
  <si>
    <t>*Simulations assumed a 40-mile generic rural highway corridor.</t>
  </si>
  <si>
    <t>Outputs</t>
  </si>
  <si>
    <t>Net Present Value (NPV)</t>
  </si>
  <si>
    <t>https://minds.wisconsin.edu/bitstream/handle/1793/69510/MS_Thesis_AsareYeboah_Veronica.pdf?sequence=1&amp;isAllowed=y</t>
  </si>
  <si>
    <t xml:space="preserve">2U to 4U Conversion </t>
  </si>
  <si>
    <t>Business and Personal Time Cost Savings</t>
  </si>
  <si>
    <t>2018$ (Jan)</t>
  </si>
  <si>
    <t>Fuel Cost/hr (Truck)</t>
  </si>
  <si>
    <t>Fuel Cost/hr (Passenger)</t>
  </si>
  <si>
    <t>Safety Costs</t>
  </si>
  <si>
    <t>Crash Modification Factors</t>
  </si>
  <si>
    <t>Source/Notes</t>
  </si>
  <si>
    <t>US 79</t>
  </si>
  <si>
    <t>Panola</t>
  </si>
  <si>
    <t>0247-03-032</t>
  </si>
  <si>
    <t>Overlay and restripe for Super 2 with TWLTL</t>
  </si>
  <si>
    <t>Passenger cars and light trucks, medium-duty trucks, heavy-duty trucks, and buses are based on DOE’s AFLEET 2018 model. AFLEET 2018 provides state specific emissions rates that are collapsed to national rates using registration data for each state as reported in Federal Highway Statistics 2017. AFLEET values are based on the most recent version of EPA MOVES and analysis prepared boy DOE. For cars and light trucks, fleet composition and emissions are assessed using, survival rates and mileagebased exposure factors used by NHTSA in rulemaking documents and sales volumes from Ward’s Automotive handbook. For medium-duty trucks, the average MY2018 vehicle is assessed based on its expected emissions after 5 years of use. For heavyduty trucks and buses, the average MY2018 vehicles is assessed based on its expected emissions after 10 years of use. These timeframes represent roughly the average age of vehicles in these classes.</t>
  </si>
  <si>
    <t>Please Select from Pull-Down Menu or Enter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</si>
</sst>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0.0%"/>
    <numFmt numFmtId="168" formatCode="&quot;$&quot;#,##0.0"/>
    <numFmt numFmtId="169" formatCode="_(* #,##0_);_(* \(#,##0\);_(* &quot;-&quot;??_);_(@_)"/>
    <numFmt numFmtId="170" formatCode="0.00000000"/>
    <numFmt numFmtId="171" formatCode="0.000000000"/>
    <numFmt numFmtId="172" formatCode="&quot;$&quot;#,##0.0_);[Red]\(&quot;$&quot;#,##0.0\)"/>
    <numFmt numFmtId="173" formatCode="_(&quot;$&quot;* #,##0_);_(&quot;$&quot;* \(#,##0\);_(&quot;$&quot;* &quot;-&quot;??_);_(@_)"/>
    <numFmt numFmtId="174" formatCode="00##\-##\-###"/>
    <numFmt numFmtId="175" formatCode="mmm\-yyyy"/>
    <numFmt numFmtId="176" formatCode="_(* #,##0.0_);_(* \(#,##0.0\);_(* &quot;-&quot;??_);_(@_)"/>
    <numFmt numFmtId="177" formatCode="#,##0.0"/>
  </numFmts>
  <fonts count="35">
    <font>
      <sz val="11"/>
      <color theme="1"/>
      <name val="Calibri"/>
      <family val="2"/>
      <scheme val="minor"/>
    </font>
    <font>
      <b/>
      <sz val="11"/>
      <color theme="1"/>
      <name val="Calibri"/>
      <family val="2"/>
      <scheme val="minor"/>
    </font>
    <font>
      <sz val="8.5"/>
      <name val="Microsoft Sans Serif"/>
      <family val="2"/>
    </font>
    <font>
      <sz val="11"/>
      <color theme="1"/>
      <name val="Calibri"/>
      <family val="2"/>
      <scheme val="minor"/>
    </font>
    <font>
      <sz val="11"/>
      <name val="Calibri"/>
      <family val="2"/>
      <scheme val="minor"/>
    </font>
    <font>
      <sz val="11"/>
      <color rgb="FFFF0000"/>
      <name val="Calibri"/>
      <family val="2"/>
      <scheme val="minor"/>
    </font>
    <font>
      <b/>
      <u/>
      <sz val="11"/>
      <color theme="1"/>
      <name val="Calibri"/>
      <family val="2"/>
      <scheme val="minor"/>
    </font>
    <font>
      <sz val="8.5"/>
      <name val="Microsoft Sans Serif"/>
      <family val="2"/>
    </font>
    <font>
      <b/>
      <sz val="11"/>
      <name val="Calibri"/>
      <family val="2"/>
      <scheme val="minor"/>
    </font>
    <font>
      <sz val="11"/>
      <color theme="8"/>
      <name val="Calibri"/>
      <family val="2"/>
      <scheme val="minor"/>
    </font>
    <font>
      <b/>
      <sz val="11"/>
      <color theme="8"/>
      <name val="Calibri"/>
      <family val="2"/>
      <scheme val="minor"/>
    </font>
    <font>
      <sz val="11"/>
      <color rgb="FF7030A0"/>
      <name val="Calibri"/>
      <family val="2"/>
      <scheme val="minor"/>
    </font>
    <font>
      <b/>
      <sz val="14"/>
      <name val="Calibri"/>
      <family val="2"/>
      <scheme val="minor"/>
    </font>
    <font>
      <u/>
      <sz val="11"/>
      <color theme="10"/>
      <name val="Calibri"/>
      <family val="2"/>
      <scheme val="minor"/>
    </font>
    <font>
      <b/>
      <sz val="11"/>
      <color rgb="FF000000"/>
      <name val="Calibri"/>
      <family val="2"/>
    </font>
    <font>
      <b/>
      <sz val="11"/>
      <color theme="1"/>
      <name val="Calibri"/>
      <family val="2"/>
    </font>
    <font>
      <b/>
      <sz val="14"/>
      <color theme="0"/>
      <name val="Calibri"/>
      <family val="2"/>
      <scheme val="minor"/>
    </font>
    <font>
      <b/>
      <sz val="11"/>
      <color theme="0"/>
      <name val="Calibri"/>
      <family val="2"/>
      <scheme val="minor"/>
    </font>
    <font>
      <sz val="9"/>
      <color rgb="FFFF0000"/>
      <name val="SansSerif"/>
    </font>
    <font>
      <sz val="9"/>
      <color rgb="FF000000"/>
      <name val="SansSerif"/>
    </font>
    <font>
      <sz val="10"/>
      <color rgb="FF000000"/>
      <name val="Times New Roman"/>
      <charset val="204"/>
    </font>
    <font>
      <b/>
      <sz val="10"/>
      <name val="Times New Roman"/>
    </font>
    <font>
      <b/>
      <sz val="10"/>
      <name val="Times New Roman"/>
      <family val="1"/>
    </font>
    <font>
      <sz val="10"/>
      <name val="Times New Roman"/>
    </font>
    <font>
      <sz val="10"/>
      <name val="Times New Roman"/>
      <family val="1"/>
    </font>
    <font>
      <sz val="10"/>
      <color rgb="FF000000"/>
      <name val="Times New Roman"/>
      <family val="2"/>
    </font>
    <font>
      <b/>
      <u/>
      <sz val="11"/>
      <name val="Calibri"/>
      <family val="2"/>
      <scheme val="minor"/>
    </font>
    <font>
      <b/>
      <sz val="10"/>
      <name val="Arial"/>
      <family val="2"/>
    </font>
    <font>
      <sz val="11"/>
      <color rgb="FF000000"/>
      <name val="Calibri"/>
      <family val="2"/>
      <scheme val="minor"/>
    </font>
    <font>
      <u/>
      <sz val="11"/>
      <color theme="1"/>
      <name val="Calibri"/>
      <family val="2"/>
      <scheme val="minor"/>
    </font>
    <font>
      <i/>
      <sz val="11"/>
      <color theme="1"/>
      <name val="Calibri"/>
      <family val="2"/>
      <scheme val="minor"/>
    </font>
    <font>
      <sz val="11"/>
      <color theme="1"/>
      <name val="Calibri"/>
      <family val="2"/>
    </font>
    <font>
      <b/>
      <sz val="14"/>
      <color rgb="FFFFFFFF"/>
      <name val="Cambria"/>
      <family val="1"/>
    </font>
    <font>
      <sz val="14"/>
      <color theme="1"/>
      <name val="Cambria"/>
      <family val="1"/>
    </font>
    <font>
      <b/>
      <sz val="11"/>
      <color rgb="FFFFFFFF"/>
      <name val="Calibri"/>
      <family val="2"/>
      <scheme val="minor"/>
    </font>
  </fonts>
  <fills count="3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8" tint="0.79998168889431442"/>
        <bgColor indexed="64"/>
      </patternFill>
    </fill>
    <fill>
      <patternFill patternType="solid">
        <fgColor theme="6" tint="0.79998168889431442"/>
        <bgColor indexed="64"/>
      </patternFill>
    </fill>
    <fill>
      <patternFill patternType="solid">
        <fgColor rgb="FFD9D9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499984740745262"/>
        <bgColor indexed="64"/>
      </patternFill>
    </fill>
  </fills>
  <borders count="34">
    <border>
      <left/>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0">
    <xf numFmtId="0" fontId="0" fillId="0" borderId="0"/>
    <xf numFmtId="0" fontId="2" fillId="0" borderId="0">
      <alignment vertical="top" wrapText="1"/>
      <protection locked="0"/>
    </xf>
    <xf numFmtId="9" fontId="3" fillId="0" borderId="0" applyFont="0" applyFill="0" applyBorder="0" applyAlignment="0" applyProtection="0"/>
    <xf numFmtId="0" fontId="7" fillId="0" borderId="0">
      <alignment vertical="top" wrapText="1"/>
      <protection locked="0"/>
    </xf>
    <xf numFmtId="43" fontId="3" fillId="0" borderId="0" applyFont="0" applyFill="0" applyBorder="0" applyAlignment="0" applyProtection="0"/>
    <xf numFmtId="44" fontId="3" fillId="0" borderId="0" applyFont="0" applyFill="0" applyBorder="0" applyAlignment="0" applyProtection="0"/>
    <xf numFmtId="0" fontId="13" fillId="0" borderId="0" applyNumberFormat="0" applyFill="0" applyBorder="0" applyAlignment="0" applyProtection="0"/>
    <xf numFmtId="0" fontId="20" fillId="0" borderId="0"/>
    <xf numFmtId="0" fontId="28" fillId="0" borderId="0"/>
    <xf numFmtId="43" fontId="28" fillId="0" borderId="0" applyFont="0" applyFill="0" applyBorder="0" applyAlignment="0" applyProtection="0"/>
  </cellStyleXfs>
  <cellXfs count="459">
    <xf numFmtId="0" fontId="0" fillId="0" borderId="0" xfId="0"/>
    <xf numFmtId="0" fontId="0" fillId="0" borderId="0" xfId="0"/>
    <xf numFmtId="0" fontId="1" fillId="0" borderId="0" xfId="0" applyFont="1"/>
    <xf numFmtId="0" fontId="0" fillId="0" borderId="0" xfId="0" applyAlignment="1">
      <alignment horizontal="right"/>
    </xf>
    <xf numFmtId="0" fontId="0" fillId="0" borderId="0" xfId="0" applyAlignment="1">
      <alignment horizontal="left"/>
    </xf>
    <xf numFmtId="166" fontId="0" fillId="0" borderId="0" xfId="0" applyNumberFormat="1"/>
    <xf numFmtId="0" fontId="0" fillId="0" borderId="0" xfId="0" applyAlignment="1">
      <alignment horizontal="center"/>
    </xf>
    <xf numFmtId="0" fontId="0" fillId="0" borderId="0" xfId="0" applyFill="1" applyAlignment="1">
      <alignment horizontal="center"/>
    </xf>
    <xf numFmtId="0" fontId="4" fillId="0" borderId="0" xfId="0" applyFont="1"/>
    <xf numFmtId="0" fontId="4" fillId="0" borderId="0" xfId="0" applyFont="1" applyFill="1"/>
    <xf numFmtId="3" fontId="0" fillId="0" borderId="0" xfId="0" applyNumberFormat="1"/>
    <xf numFmtId="0" fontId="1" fillId="0" borderId="0" xfId="0" applyFont="1" applyAlignment="1">
      <alignment horizontal="center"/>
    </xf>
    <xf numFmtId="0" fontId="6" fillId="0" borderId="0" xfId="0" applyFont="1"/>
    <xf numFmtId="2" fontId="0" fillId="0" borderId="0" xfId="0" applyNumberFormat="1"/>
    <xf numFmtId="0" fontId="1" fillId="0" borderId="0" xfId="0" applyFont="1" applyAlignment="1">
      <alignment horizontal="center" wrapText="1"/>
    </xf>
    <xf numFmtId="3" fontId="0" fillId="0" borderId="0" xfId="0" applyNumberFormat="1" applyFill="1"/>
    <xf numFmtId="0" fontId="0" fillId="0" borderId="0" xfId="0" applyFill="1" applyAlignment="1">
      <alignment horizontal="center" wrapText="1"/>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Fill="1"/>
    <xf numFmtId="0" fontId="5" fillId="0" borderId="0" xfId="0" applyFont="1" applyAlignment="1">
      <alignment horizontal="center"/>
    </xf>
    <xf numFmtId="0" fontId="0" fillId="0" borderId="0" xfId="0" applyFill="1" applyAlignment="1">
      <alignment horizontal="right"/>
    </xf>
    <xf numFmtId="2" fontId="5" fillId="0" borderId="0" xfId="0" applyNumberFormat="1" applyFont="1" applyAlignment="1">
      <alignment horizontal="center"/>
    </xf>
    <xf numFmtId="165" fontId="4" fillId="0" borderId="0" xfId="0" applyNumberFormat="1" applyFont="1"/>
    <xf numFmtId="0" fontId="8" fillId="0" borderId="0" xfId="0" applyFont="1"/>
    <xf numFmtId="167" fontId="4" fillId="0" borderId="0" xfId="0" applyNumberFormat="1" applyFont="1" applyAlignment="1">
      <alignment horizontal="center"/>
    </xf>
    <xf numFmtId="0" fontId="4" fillId="0" borderId="0" xfId="0" applyFont="1" applyBorder="1"/>
    <xf numFmtId="0" fontId="4" fillId="0" borderId="0" xfId="0" applyFont="1" applyFill="1" applyBorder="1"/>
    <xf numFmtId="2" fontId="4" fillId="0" borderId="0" xfId="0" applyNumberFormat="1" applyFont="1"/>
    <xf numFmtId="166" fontId="4" fillId="0" borderId="5" xfId="0" applyNumberFormat="1" applyFont="1" applyFill="1" applyBorder="1"/>
    <xf numFmtId="166" fontId="4" fillId="0" borderId="0" xfId="0" applyNumberFormat="1" applyFont="1" applyFill="1" applyBorder="1"/>
    <xf numFmtId="166" fontId="4" fillId="0" borderId="5" xfId="0" applyNumberFormat="1" applyFont="1" applyBorder="1"/>
    <xf numFmtId="9" fontId="4" fillId="0" borderId="0" xfId="2" applyFont="1"/>
    <xf numFmtId="0" fontId="8" fillId="0" borderId="0" xfId="0" applyFont="1" applyAlignment="1">
      <alignment horizontal="right"/>
    </xf>
    <xf numFmtId="168" fontId="8" fillId="0" borderId="0" xfId="0" applyNumberFormat="1" applyFont="1" applyBorder="1"/>
    <xf numFmtId="0" fontId="4" fillId="0" borderId="0" xfId="0" applyFont="1" applyAlignment="1">
      <alignment horizontal="center"/>
    </xf>
    <xf numFmtId="9" fontId="4" fillId="0" borderId="0" xfId="2" applyFont="1" applyAlignment="1">
      <alignment horizontal="center"/>
    </xf>
    <xf numFmtId="0" fontId="4" fillId="0" borderId="0" xfId="0" applyFont="1" applyFill="1" applyAlignment="1">
      <alignment horizontal="center"/>
    </xf>
    <xf numFmtId="0" fontId="10" fillId="0" borderId="0" xfId="0" applyFont="1" applyAlignment="1">
      <alignment horizontal="right"/>
    </xf>
    <xf numFmtId="0" fontId="10" fillId="0" borderId="0" xfId="0" applyFont="1"/>
    <xf numFmtId="166" fontId="10" fillId="0" borderId="0" xfId="0" applyNumberFormat="1" applyFont="1" applyFill="1" applyBorder="1"/>
    <xf numFmtId="0" fontId="9" fillId="0" borderId="0" xfId="0" applyFont="1"/>
    <xf numFmtId="165" fontId="10" fillId="0" borderId="0" xfId="0" applyNumberFormat="1" applyFont="1" applyFill="1" applyBorder="1"/>
    <xf numFmtId="165" fontId="10" fillId="0" borderId="0" xfId="0" applyNumberFormat="1" applyFont="1"/>
    <xf numFmtId="165" fontId="10" fillId="0" borderId="0" xfId="0" applyNumberFormat="1" applyFont="1" applyFill="1"/>
    <xf numFmtId="165" fontId="8" fillId="0" borderId="0" xfId="0" applyNumberFormat="1" applyFont="1"/>
    <xf numFmtId="165" fontId="8" fillId="0" borderId="0" xfId="0" applyNumberFormat="1" applyFont="1" applyFill="1"/>
    <xf numFmtId="168" fontId="8" fillId="0" borderId="0" xfId="0" applyNumberFormat="1" applyFont="1" applyFill="1"/>
    <xf numFmtId="168" fontId="10" fillId="0" borderId="0" xfId="0" applyNumberFormat="1" applyFont="1" applyFill="1"/>
    <xf numFmtId="168" fontId="8" fillId="0" borderId="0" xfId="0" applyNumberFormat="1" applyFont="1"/>
    <xf numFmtId="168" fontId="10" fillId="0" borderId="0" xfId="0" applyNumberFormat="1" applyFont="1"/>
    <xf numFmtId="9" fontId="1" fillId="0" borderId="0" xfId="0" applyNumberFormat="1" applyFont="1" applyAlignment="1">
      <alignment horizontal="center"/>
    </xf>
    <xf numFmtId="168" fontId="0" fillId="0" borderId="0" xfId="0" applyNumberFormat="1"/>
    <xf numFmtId="0" fontId="0" fillId="0" borderId="0" xfId="0" applyAlignment="1"/>
    <xf numFmtId="0" fontId="1" fillId="0" borderId="0" xfId="0" applyFont="1" applyAlignment="1"/>
    <xf numFmtId="0" fontId="0" fillId="0" borderId="0" xfId="0" applyAlignment="1">
      <alignment horizontal="center"/>
    </xf>
    <xf numFmtId="2" fontId="1" fillId="0" borderId="0" xfId="0" applyNumberFormat="1" applyFont="1"/>
    <xf numFmtId="0" fontId="0" fillId="2" borderId="0" xfId="0" applyFill="1"/>
    <xf numFmtId="0" fontId="6" fillId="0" borderId="0" xfId="0" applyFont="1" applyAlignment="1"/>
    <xf numFmtId="0" fontId="0" fillId="3" borderId="0" xfId="0" applyFill="1"/>
    <xf numFmtId="165" fontId="0" fillId="3" borderId="0" xfId="0" applyNumberFormat="1" applyFill="1"/>
    <xf numFmtId="165" fontId="0" fillId="3" borderId="0" xfId="0" applyNumberFormat="1" applyFill="1" applyAlignment="1">
      <alignment horizontal="right"/>
    </xf>
    <xf numFmtId="0" fontId="1" fillId="0" borderId="0" xfId="0" applyFont="1" applyAlignment="1">
      <alignment horizontal="center"/>
    </xf>
    <xf numFmtId="169" fontId="0" fillId="0" borderId="0" xfId="4" applyNumberFormat="1" applyFont="1"/>
    <xf numFmtId="165" fontId="1" fillId="0" borderId="0" xfId="0" applyNumberFormat="1" applyFont="1" applyFill="1" applyAlignment="1">
      <alignment horizontal="center"/>
    </xf>
    <xf numFmtId="170" fontId="4" fillId="0" borderId="0" xfId="0" applyNumberFormat="1" applyFont="1"/>
    <xf numFmtId="171" fontId="4" fillId="0" borderId="0" xfId="0" applyNumberFormat="1" applyFont="1"/>
    <xf numFmtId="168" fontId="6" fillId="0" borderId="0" xfId="0" applyNumberFormat="1" applyFont="1" applyFill="1" applyAlignment="1">
      <alignment horizontal="center"/>
    </xf>
    <xf numFmtId="0" fontId="0" fillId="0" borderId="0" xfId="0" applyFill="1" applyAlignment="1"/>
    <xf numFmtId="165" fontId="0" fillId="0" borderId="0" xfId="0" applyNumberFormat="1" applyFill="1" applyAlignment="1"/>
    <xf numFmtId="166" fontId="4" fillId="0" borderId="0" xfId="0" applyNumberFormat="1" applyFont="1" applyBorder="1"/>
    <xf numFmtId="2" fontId="4" fillId="0" borderId="0" xfId="0" applyNumberFormat="1" applyFont="1" applyBorder="1"/>
    <xf numFmtId="0" fontId="8" fillId="0" borderId="0" xfId="0" applyFont="1" applyBorder="1" applyAlignment="1">
      <alignment horizontal="right"/>
    </xf>
    <xf numFmtId="166" fontId="8" fillId="0" borderId="0" xfId="0" applyNumberFormat="1" applyFont="1" applyFill="1" applyBorder="1"/>
    <xf numFmtId="0" fontId="10" fillId="0" borderId="0" xfId="0" applyFont="1" applyBorder="1" applyAlignment="1">
      <alignment horizontal="right"/>
    </xf>
    <xf numFmtId="0" fontId="10" fillId="0" borderId="0" xfId="0" applyFont="1" applyBorder="1"/>
    <xf numFmtId="0" fontId="9" fillId="0" borderId="0" xfId="0" applyFont="1" applyFill="1" applyBorder="1"/>
    <xf numFmtId="9" fontId="11" fillId="0" borderId="0" xfId="2" applyFont="1" applyFill="1" applyBorder="1"/>
    <xf numFmtId="0" fontId="4" fillId="0" borderId="0" xfId="0" applyFont="1" applyFill="1" applyBorder="1" applyAlignment="1">
      <alignment horizontal="center" wrapText="1"/>
    </xf>
    <xf numFmtId="165" fontId="8" fillId="0" borderId="0" xfId="0" applyNumberFormat="1" applyFont="1" applyFill="1" applyBorder="1"/>
    <xf numFmtId="168" fontId="8" fillId="0" borderId="0" xfId="0" applyNumberFormat="1" applyFont="1" applyFill="1" applyBorder="1"/>
    <xf numFmtId="168" fontId="10" fillId="0" borderId="0" xfId="0" applyNumberFormat="1" applyFont="1" applyFill="1" applyBorder="1"/>
    <xf numFmtId="9" fontId="4" fillId="0" borderId="0" xfId="2" applyFont="1" applyFill="1" applyBorder="1"/>
    <xf numFmtId="173" fontId="4" fillId="0" borderId="0" xfId="5" applyNumberFormat="1" applyFont="1"/>
    <xf numFmtId="173" fontId="4" fillId="0" borderId="0" xfId="5" applyNumberFormat="1" applyFont="1" applyBorder="1"/>
    <xf numFmtId="173" fontId="8" fillId="0" borderId="0" xfId="5" applyNumberFormat="1" applyFont="1" applyFill="1" applyBorder="1"/>
    <xf numFmtId="173" fontId="10" fillId="0" borderId="0" xfId="5" applyNumberFormat="1" applyFont="1" applyFill="1" applyBorder="1"/>
    <xf numFmtId="173" fontId="4" fillId="0" borderId="0" xfId="5" applyNumberFormat="1" applyFont="1" applyAlignment="1">
      <alignment horizontal="center"/>
    </xf>
    <xf numFmtId="173" fontId="8" fillId="0" borderId="0" xfId="5" applyNumberFormat="1" applyFont="1"/>
    <xf numFmtId="173" fontId="10" fillId="0" borderId="0" xfId="5" applyNumberFormat="1" applyFont="1" applyFill="1"/>
    <xf numFmtId="0" fontId="4" fillId="0" borderId="15" xfId="0" applyFont="1" applyBorder="1"/>
    <xf numFmtId="0" fontId="4" fillId="0" borderId="16" xfId="0" applyFont="1" applyFill="1" applyBorder="1" applyAlignment="1">
      <alignment horizontal="center" wrapText="1"/>
    </xf>
    <xf numFmtId="166" fontId="4" fillId="0" borderId="15" xfId="0" applyNumberFormat="1" applyFont="1" applyFill="1" applyBorder="1"/>
    <xf numFmtId="166" fontId="4" fillId="0" borderId="16" xfId="0" applyNumberFormat="1" applyFont="1" applyFill="1" applyBorder="1"/>
    <xf numFmtId="166" fontId="8" fillId="0" borderId="17" xfId="0" applyNumberFormat="1" applyFont="1" applyBorder="1"/>
    <xf numFmtId="166" fontId="8" fillId="0" borderId="18" xfId="0" applyNumberFormat="1" applyFont="1" applyFill="1" applyBorder="1"/>
    <xf numFmtId="0" fontId="4" fillId="0" borderId="15" xfId="0" applyFont="1" applyFill="1" applyBorder="1"/>
    <xf numFmtId="173" fontId="8" fillId="0" borderId="17" xfId="5" applyNumberFormat="1" applyFont="1" applyBorder="1"/>
    <xf numFmtId="0" fontId="4" fillId="0" borderId="0" xfId="0" applyFont="1" applyAlignment="1">
      <alignment wrapText="1"/>
    </xf>
    <xf numFmtId="0" fontId="4" fillId="0" borderId="17" xfId="0" applyFont="1" applyBorder="1" applyAlignment="1">
      <alignment horizontal="center" wrapText="1"/>
    </xf>
    <xf numFmtId="166" fontId="4" fillId="0" borderId="16" xfId="0" applyNumberFormat="1" applyFont="1" applyBorder="1"/>
    <xf numFmtId="0" fontId="8" fillId="0" borderId="15" xfId="0" applyFont="1" applyBorder="1" applyAlignment="1">
      <alignment horizontal="left"/>
    </xf>
    <xf numFmtId="0" fontId="8" fillId="0" borderId="17" xfId="0" applyFont="1" applyBorder="1" applyAlignment="1">
      <alignment horizontal="left"/>
    </xf>
    <xf numFmtId="0" fontId="8" fillId="0" borderId="17" xfId="0" applyFont="1" applyBorder="1"/>
    <xf numFmtId="166" fontId="8" fillId="0" borderId="19" xfId="0" applyNumberFormat="1" applyFont="1" applyBorder="1" applyAlignment="1">
      <alignment horizontal="right"/>
    </xf>
    <xf numFmtId="166" fontId="8" fillId="0" borderId="20" xfId="0" applyNumberFormat="1" applyFont="1" applyBorder="1" applyAlignment="1">
      <alignment horizontal="right"/>
    </xf>
    <xf numFmtId="0" fontId="4" fillId="0" borderId="10" xfId="0" applyFont="1" applyBorder="1" applyAlignment="1">
      <alignment horizontal="center" wrapText="1"/>
    </xf>
    <xf numFmtId="0" fontId="8" fillId="0" borderId="13" xfId="0" applyFont="1" applyBorder="1"/>
    <xf numFmtId="2" fontId="8" fillId="0" borderId="1" xfId="0" applyNumberFormat="1" applyFont="1" applyBorder="1"/>
    <xf numFmtId="166" fontId="8" fillId="0" borderId="18" xfId="0" applyNumberFormat="1" applyFont="1" applyBorder="1"/>
    <xf numFmtId="0" fontId="13" fillId="0" borderId="0" xfId="6"/>
    <xf numFmtId="166" fontId="4" fillId="0" borderId="0" xfId="0" applyNumberFormat="1" applyFont="1"/>
    <xf numFmtId="173" fontId="0" fillId="0" borderId="0" xfId="5" applyNumberFormat="1" applyFont="1"/>
    <xf numFmtId="0" fontId="10" fillId="0" borderId="0" xfId="0" applyFont="1" applyFill="1" applyBorder="1"/>
    <xf numFmtId="166" fontId="8" fillId="0" borderId="2" xfId="0" applyNumberFormat="1" applyFont="1" applyBorder="1"/>
    <xf numFmtId="166" fontId="8" fillId="0" borderId="3" xfId="0" applyNumberFormat="1" applyFont="1" applyBorder="1"/>
    <xf numFmtId="168" fontId="8" fillId="0" borderId="7" xfId="0" applyNumberFormat="1" applyFont="1" applyBorder="1"/>
    <xf numFmtId="168" fontId="8" fillId="0" borderId="8" xfId="0" applyNumberFormat="1" applyFont="1" applyBorder="1"/>
    <xf numFmtId="166" fontId="8" fillId="0" borderId="8" xfId="0" applyNumberFormat="1" applyFont="1" applyBorder="1"/>
    <xf numFmtId="0" fontId="0" fillId="0" borderId="0" xfId="0" applyFill="1" applyBorder="1"/>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173" fontId="0" fillId="0" borderId="0" xfId="5" applyNumberFormat="1" applyFont="1" applyBorder="1"/>
    <xf numFmtId="0" fontId="0" fillId="0" borderId="22" xfId="0" applyFill="1" applyBorder="1"/>
    <xf numFmtId="0" fontId="14" fillId="0" borderId="23" xfId="0" applyFont="1" applyFill="1" applyBorder="1" applyAlignment="1">
      <alignment horizontal="center" vertical="center"/>
    </xf>
    <xf numFmtId="0" fontId="0" fillId="0" borderId="24" xfId="0" applyBorder="1"/>
    <xf numFmtId="173" fontId="0" fillId="0" borderId="22" xfId="5" applyNumberFormat="1" applyFont="1" applyFill="1" applyBorder="1"/>
    <xf numFmtId="173" fontId="14" fillId="0" borderId="23" xfId="5" applyNumberFormat="1" applyFont="1" applyFill="1" applyBorder="1" applyAlignment="1">
      <alignment horizontal="center" vertical="center"/>
    </xf>
    <xf numFmtId="173" fontId="0" fillId="0" borderId="24" xfId="5" applyNumberFormat="1" applyFont="1" applyBorder="1"/>
    <xf numFmtId="0" fontId="1" fillId="0" borderId="21" xfId="0" applyFont="1" applyBorder="1"/>
    <xf numFmtId="173" fontId="1" fillId="0" borderId="26" xfId="5" applyNumberFormat="1" applyFont="1" applyBorder="1"/>
    <xf numFmtId="173" fontId="1" fillId="0" borderId="21" xfId="5" applyNumberFormat="1" applyFont="1" applyBorder="1"/>
    <xf numFmtId="0" fontId="0" fillId="0" borderId="0" xfId="0" applyFill="1" applyBorder="1" applyAlignment="1">
      <alignment horizontal="center"/>
    </xf>
    <xf numFmtId="164" fontId="0" fillId="0" borderId="0" xfId="2" applyNumberFormat="1" applyFont="1" applyFill="1"/>
    <xf numFmtId="0" fontId="0" fillId="0" borderId="0" xfId="0" applyBorder="1" applyAlignment="1"/>
    <xf numFmtId="0" fontId="13" fillId="0" borderId="0" xfId="6" applyAlignment="1" applyProtection="1"/>
    <xf numFmtId="166" fontId="4" fillId="0" borderId="16" xfId="5" applyNumberFormat="1" applyFont="1" applyBorder="1"/>
    <xf numFmtId="166" fontId="4" fillId="0" borderId="15" xfId="5" applyNumberFormat="1" applyFont="1" applyBorder="1"/>
    <xf numFmtId="166" fontId="4" fillId="0" borderId="15" xfId="0" applyNumberFormat="1" applyFont="1" applyBorder="1"/>
    <xf numFmtId="0" fontId="0" fillId="0" borderId="0" xfId="0" applyFill="1" applyBorder="1" applyAlignment="1"/>
    <xf numFmtId="2" fontId="1" fillId="0" borderId="0" xfId="0" applyNumberFormat="1" applyFont="1" applyFill="1" applyBorder="1" applyAlignment="1">
      <alignment horizontal="center"/>
    </xf>
    <xf numFmtId="173" fontId="12" fillId="4" borderId="0" xfId="5" applyNumberFormat="1" applyFont="1" applyFill="1" applyAlignment="1">
      <alignment horizontal="center" vertical="center"/>
    </xf>
    <xf numFmtId="173" fontId="4" fillId="4" borderId="0" xfId="5" applyNumberFormat="1" applyFont="1" applyFill="1" applyBorder="1" applyAlignment="1">
      <alignment horizontal="center" wrapText="1"/>
    </xf>
    <xf numFmtId="166" fontId="4" fillId="4" borderId="0" xfId="5" applyNumberFormat="1" applyFont="1" applyFill="1" applyBorder="1" applyAlignment="1">
      <alignment horizontal="center" wrapText="1"/>
    </xf>
    <xf numFmtId="166" fontId="4" fillId="4" borderId="0" xfId="5" applyNumberFormat="1" applyFont="1" applyFill="1" applyBorder="1"/>
    <xf numFmtId="173" fontId="8" fillId="4" borderId="0" xfId="5" applyNumberFormat="1" applyFont="1" applyFill="1" applyBorder="1"/>
    <xf numFmtId="0" fontId="4" fillId="4" borderId="0" xfId="0" applyFont="1" applyFill="1"/>
    <xf numFmtId="0" fontId="8" fillId="4" borderId="0" xfId="0" applyFont="1" applyFill="1"/>
    <xf numFmtId="0" fontId="4" fillId="0" borderId="28" xfId="0" applyFont="1" applyBorder="1"/>
    <xf numFmtId="0" fontId="4" fillId="0" borderId="15" xfId="0" applyFont="1" applyBorder="1" applyAlignment="1">
      <alignment horizontal="center"/>
    </xf>
    <xf numFmtId="0" fontId="4" fillId="0" borderId="0" xfId="0" applyFont="1" applyBorder="1" applyAlignment="1">
      <alignment horizontal="center"/>
    </xf>
    <xf numFmtId="0" fontId="4" fillId="0" borderId="17" xfId="0" applyFont="1" applyBorder="1"/>
    <xf numFmtId="0" fontId="4" fillId="0" borderId="10" xfId="0" applyFont="1" applyFill="1" applyBorder="1" applyAlignment="1">
      <alignment horizontal="center" wrapText="1"/>
    </xf>
    <xf numFmtId="0" fontId="4" fillId="0" borderId="17" xfId="0" applyFont="1" applyFill="1" applyBorder="1"/>
    <xf numFmtId="0" fontId="0" fillId="0" borderId="11" xfId="0" applyBorder="1"/>
    <xf numFmtId="167" fontId="0" fillId="0" borderId="11" xfId="2" applyNumberFormat="1" applyFont="1" applyBorder="1"/>
    <xf numFmtId="0" fontId="4" fillId="0" borderId="11" xfId="0" applyFont="1" applyFill="1" applyBorder="1"/>
    <xf numFmtId="167" fontId="0" fillId="0" borderId="0" xfId="2" applyNumberFormat="1" applyFont="1"/>
    <xf numFmtId="2" fontId="1" fillId="0" borderId="0" xfId="0" applyNumberFormat="1" applyFont="1" applyFill="1" applyBorder="1" applyAlignment="1">
      <alignment horizontal="center"/>
    </xf>
    <xf numFmtId="2" fontId="0" fillId="0" borderId="0" xfId="0" applyNumberFormat="1" applyAlignment="1">
      <alignment horizontal="right"/>
    </xf>
    <xf numFmtId="166" fontId="8" fillId="0" borderId="10" xfId="0" applyNumberFormat="1" applyFont="1" applyBorder="1"/>
    <xf numFmtId="0" fontId="16" fillId="5" borderId="0" xfId="0" applyFont="1" applyFill="1" applyBorder="1" applyAlignment="1">
      <alignment horizontal="center"/>
    </xf>
    <xf numFmtId="0" fontId="4" fillId="0" borderId="1" xfId="0" applyFont="1" applyFill="1" applyBorder="1" applyAlignment="1">
      <alignment horizontal="center" wrapText="1"/>
    </xf>
    <xf numFmtId="9" fontId="4" fillId="0" borderId="10" xfId="0" applyNumberFormat="1" applyFont="1" applyFill="1" applyBorder="1" applyAlignment="1">
      <alignment horizontal="center" wrapText="1"/>
    </xf>
    <xf numFmtId="9" fontId="4" fillId="0" borderId="10" xfId="0" applyNumberFormat="1" applyFont="1" applyBorder="1" applyAlignment="1">
      <alignment horizontal="center"/>
    </xf>
    <xf numFmtId="9" fontId="4" fillId="0" borderId="18" xfId="0" applyNumberFormat="1" applyFont="1" applyFill="1" applyBorder="1" applyAlignment="1">
      <alignment horizontal="center" wrapText="1"/>
    </xf>
    <xf numFmtId="166" fontId="4" fillId="0" borderId="0" xfId="5" applyNumberFormat="1" applyFont="1" applyBorder="1"/>
    <xf numFmtId="173" fontId="8" fillId="0" borderId="10" xfId="5" applyNumberFormat="1" applyFont="1" applyBorder="1"/>
    <xf numFmtId="173" fontId="16" fillId="5" borderId="0" xfId="5" applyNumberFormat="1" applyFont="1" applyFill="1" applyBorder="1" applyAlignment="1">
      <alignment horizontal="center" vertical="center"/>
    </xf>
    <xf numFmtId="166" fontId="4" fillId="0" borderId="1" xfId="5" applyNumberFormat="1" applyFont="1" applyBorder="1"/>
    <xf numFmtId="0" fontId="4" fillId="4" borderId="11" xfId="0" applyFont="1" applyFill="1" applyBorder="1" applyAlignment="1">
      <alignment horizontal="center"/>
    </xf>
    <xf numFmtId="2" fontId="0" fillId="2" borderId="0" xfId="0" applyNumberFormat="1" applyFill="1"/>
    <xf numFmtId="0" fontId="1" fillId="0" borderId="0" xfId="0" applyFont="1" applyAlignment="1">
      <alignment horizontal="center"/>
    </xf>
    <xf numFmtId="167" fontId="0" fillId="0" borderId="0" xfId="2" applyNumberFormat="1" applyFont="1" applyFill="1"/>
    <xf numFmtId="0" fontId="4" fillId="4" borderId="29" xfId="0" applyFont="1" applyFill="1" applyBorder="1"/>
    <xf numFmtId="0" fontId="1" fillId="0" borderId="0" xfId="0" applyFont="1" applyAlignment="1">
      <alignment horizontal="center"/>
    </xf>
    <xf numFmtId="0" fontId="4" fillId="0" borderId="3"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wrapText="1"/>
    </xf>
    <xf numFmtId="0" fontId="14" fillId="0" borderId="7" xfId="0" applyFont="1" applyFill="1" applyBorder="1" applyAlignment="1">
      <alignment horizontal="center" vertical="center"/>
    </xf>
    <xf numFmtId="0" fontId="0" fillId="0" borderId="0" xfId="0" applyAlignment="1">
      <alignment horizontal="left" wrapText="1"/>
    </xf>
    <xf numFmtId="174" fontId="1" fillId="7" borderId="11" xfId="0" applyNumberFormat="1" applyFont="1" applyFill="1" applyBorder="1" applyAlignment="1">
      <alignment horizontal="center"/>
    </xf>
    <xf numFmtId="0" fontId="1" fillId="7" borderId="11" xfId="0" applyFont="1" applyFill="1" applyBorder="1"/>
    <xf numFmtId="165" fontId="1" fillId="7" borderId="11" xfId="0" applyNumberFormat="1" applyFont="1" applyFill="1" applyBorder="1"/>
    <xf numFmtId="175" fontId="1" fillId="7" borderId="11" xfId="0" applyNumberFormat="1" applyFont="1" applyFill="1" applyBorder="1"/>
    <xf numFmtId="174" fontId="17" fillId="8" borderId="11" xfId="0" applyNumberFormat="1" applyFont="1" applyFill="1" applyBorder="1" applyAlignment="1">
      <alignment horizontal="left"/>
    </xf>
    <xf numFmtId="0" fontId="1" fillId="8" borderId="11" xfId="0" applyFont="1" applyFill="1" applyBorder="1"/>
    <xf numFmtId="165" fontId="1" fillId="8" borderId="11" xfId="0" applyNumberFormat="1" applyFont="1" applyFill="1" applyBorder="1"/>
    <xf numFmtId="175" fontId="1" fillId="8" borderId="11" xfId="0" applyNumberFormat="1" applyFont="1" applyFill="1" applyBorder="1"/>
    <xf numFmtId="0" fontId="5" fillId="0" borderId="11" xfId="0" applyFont="1" applyBorder="1"/>
    <xf numFmtId="0" fontId="18" fillId="9" borderId="11" xfId="0" applyFont="1" applyFill="1" applyBorder="1" applyAlignment="1">
      <alignment vertical="center" wrapText="1"/>
    </xf>
    <xf numFmtId="0" fontId="5" fillId="9" borderId="11" xfId="0" applyFont="1" applyFill="1" applyBorder="1" applyAlignment="1">
      <alignment vertical="center" wrapText="1"/>
    </xf>
    <xf numFmtId="0" fontId="5" fillId="0" borderId="11" xfId="0" applyFont="1" applyBorder="1" applyAlignment="1">
      <alignment vertical="center"/>
    </xf>
    <xf numFmtId="165" fontId="5" fillId="0" borderId="11" xfId="0" applyNumberFormat="1" applyFont="1" applyBorder="1"/>
    <xf numFmtId="166" fontId="5" fillId="0" borderId="11" xfId="0" applyNumberFormat="1" applyFont="1" applyBorder="1"/>
    <xf numFmtId="175" fontId="5" fillId="0" borderId="11" xfId="0" applyNumberFormat="1" applyFont="1" applyBorder="1"/>
    <xf numFmtId="174" fontId="5" fillId="0" borderId="11" xfId="0" applyNumberFormat="1" applyFont="1" applyBorder="1" applyAlignment="1">
      <alignment horizontal="center"/>
    </xf>
    <xf numFmtId="174" fontId="0" fillId="10" borderId="11" xfId="0" applyNumberFormat="1" applyFill="1" applyBorder="1" applyAlignment="1">
      <alignment horizontal="center"/>
    </xf>
    <xf numFmtId="0" fontId="0" fillId="10" borderId="11" xfId="0" applyFill="1" applyBorder="1"/>
    <xf numFmtId="0" fontId="0" fillId="10" borderId="11" xfId="0" applyFill="1" applyBorder="1" applyAlignment="1">
      <alignment vertical="center"/>
    </xf>
    <xf numFmtId="0" fontId="19" fillId="11" borderId="11" xfId="0" applyFont="1" applyFill="1" applyBorder="1" applyAlignment="1">
      <alignment vertical="center" wrapText="1"/>
    </xf>
    <xf numFmtId="165" fontId="0" fillId="10" borderId="11" xfId="0" applyNumberFormat="1" applyFill="1" applyBorder="1"/>
    <xf numFmtId="166" fontId="0" fillId="10" borderId="11" xfId="0" applyNumberFormat="1" applyFill="1" applyBorder="1"/>
    <xf numFmtId="175" fontId="0" fillId="10" borderId="11" xfId="0" applyNumberFormat="1" applyFill="1" applyBorder="1" applyAlignment="1">
      <alignment vertical="center"/>
    </xf>
    <xf numFmtId="175" fontId="0" fillId="10" borderId="11" xfId="0" applyNumberFormat="1" applyFill="1" applyBorder="1"/>
    <xf numFmtId="175" fontId="0" fillId="10" borderId="11" xfId="0" applyNumberFormat="1" applyFill="1" applyBorder="1" applyAlignment="1">
      <alignment horizontal="right" vertical="center"/>
    </xf>
    <xf numFmtId="0" fontId="0" fillId="10" borderId="30" xfId="0" applyFill="1" applyBorder="1"/>
    <xf numFmtId="175" fontId="5" fillId="10" borderId="11" xfId="0" applyNumberFormat="1" applyFont="1" applyFill="1" applyBorder="1" applyAlignment="1">
      <alignment horizontal="right"/>
    </xf>
    <xf numFmtId="166" fontId="0" fillId="10" borderId="0" xfId="0" applyNumberFormat="1" applyFill="1"/>
    <xf numFmtId="0" fontId="0" fillId="12" borderId="11" xfId="0" applyFill="1" applyBorder="1"/>
    <xf numFmtId="165" fontId="0" fillId="12" borderId="11" xfId="0" applyNumberFormat="1" applyFill="1" applyBorder="1"/>
    <xf numFmtId="166" fontId="0" fillId="12" borderId="11" xfId="0" applyNumberFormat="1" applyFill="1" applyBorder="1"/>
    <xf numFmtId="175" fontId="5" fillId="12" borderId="11" xfId="0" applyNumberFormat="1" applyFont="1" applyFill="1" applyBorder="1" applyAlignment="1">
      <alignment horizontal="right"/>
    </xf>
    <xf numFmtId="175" fontId="0" fillId="12" borderId="11" xfId="0" applyNumberFormat="1" applyFill="1" applyBorder="1" applyAlignment="1">
      <alignment horizontal="right"/>
    </xf>
    <xf numFmtId="175" fontId="0" fillId="12" borderId="11" xfId="0" applyNumberFormat="1" applyFill="1" applyBorder="1"/>
    <xf numFmtId="166" fontId="0" fillId="12" borderId="0" xfId="0" applyNumberFormat="1" applyFill="1"/>
    <xf numFmtId="0" fontId="0" fillId="13" borderId="11" xfId="0" applyFill="1" applyBorder="1"/>
    <xf numFmtId="165" fontId="0" fillId="13" borderId="11" xfId="0" applyNumberFormat="1" applyFill="1" applyBorder="1"/>
    <xf numFmtId="166" fontId="0" fillId="13" borderId="11" xfId="0" applyNumberFormat="1" applyFill="1" applyBorder="1"/>
    <xf numFmtId="175" fontId="0" fillId="13" borderId="11" xfId="0" applyNumberFormat="1" applyFill="1" applyBorder="1"/>
    <xf numFmtId="166" fontId="0" fillId="13" borderId="0" xfId="0" applyNumberFormat="1" applyFill="1"/>
    <xf numFmtId="174" fontId="0" fillId="0" borderId="11" xfId="0" applyNumberFormat="1" applyBorder="1" applyAlignment="1">
      <alignment horizontal="center"/>
    </xf>
    <xf numFmtId="165" fontId="0" fillId="0" borderId="11" xfId="0" applyNumberFormat="1" applyBorder="1"/>
    <xf numFmtId="175" fontId="0" fillId="0" borderId="11" xfId="0" applyNumberFormat="1" applyBorder="1"/>
    <xf numFmtId="174" fontId="0" fillId="0" borderId="0" xfId="0" applyNumberFormat="1" applyAlignment="1">
      <alignment horizontal="center"/>
    </xf>
    <xf numFmtId="165" fontId="0" fillId="0" borderId="0" xfId="0" applyNumberFormat="1"/>
    <xf numFmtId="175" fontId="0" fillId="0" borderId="0" xfId="0" applyNumberFormat="1"/>
    <xf numFmtId="0" fontId="21" fillId="14" borderId="31" xfId="7" applyFont="1" applyFill="1" applyBorder="1" applyAlignment="1">
      <alignment horizontal="left" vertical="center" wrapText="1" indent="1"/>
    </xf>
    <xf numFmtId="0" fontId="20" fillId="14" borderId="31" xfId="7" applyFill="1" applyBorder="1" applyAlignment="1">
      <alignment horizontal="center" vertical="top" wrapText="1"/>
    </xf>
    <xf numFmtId="0" fontId="20" fillId="0" borderId="0" xfId="7" applyAlignment="1">
      <alignment horizontal="left" vertical="top"/>
    </xf>
    <xf numFmtId="0" fontId="23" fillId="0" borderId="31" xfId="7" applyFont="1" applyBorder="1" applyAlignment="1">
      <alignment horizontal="left" vertical="top" wrapText="1" indent="1"/>
    </xf>
    <xf numFmtId="2" fontId="25" fillId="0" borderId="31" xfId="7" applyNumberFormat="1" applyFont="1" applyBorder="1" applyAlignment="1">
      <alignment horizontal="right" vertical="top" shrinkToFit="1"/>
    </xf>
    <xf numFmtId="0" fontId="4" fillId="0" borderId="0" xfId="0" applyFont="1" applyFill="1" applyBorder="1" applyAlignment="1"/>
    <xf numFmtId="168" fontId="26" fillId="0" borderId="0" xfId="0" applyNumberFormat="1" applyFont="1" applyFill="1" applyBorder="1" applyAlignment="1">
      <alignment horizontal="center"/>
    </xf>
    <xf numFmtId="0" fontId="4" fillId="0" borderId="0" xfId="0" applyFont="1" applyAlignment="1"/>
    <xf numFmtId="168" fontId="26" fillId="0" borderId="0" xfId="0" applyNumberFormat="1" applyFont="1" applyFill="1" applyAlignment="1">
      <alignment horizontal="center"/>
    </xf>
    <xf numFmtId="0" fontId="4" fillId="0" borderId="0" xfId="0" applyFont="1" applyFill="1" applyAlignment="1"/>
    <xf numFmtId="0" fontId="4" fillId="0" borderId="0" xfId="0" applyFont="1" applyBorder="1" applyAlignment="1"/>
    <xf numFmtId="166" fontId="27" fillId="0" borderId="0" xfId="0" applyNumberFormat="1" applyFont="1" applyAlignment="1">
      <alignment horizontal="center" wrapText="1"/>
    </xf>
    <xf numFmtId="166" fontId="27" fillId="0" borderId="0" xfId="0" applyNumberFormat="1" applyFont="1" applyAlignment="1">
      <alignment horizontal="center" vertical="top" wrapText="1"/>
    </xf>
    <xf numFmtId="8" fontId="0" fillId="0" borderId="0" xfId="0" applyNumberFormat="1" applyFill="1"/>
    <xf numFmtId="2" fontId="0" fillId="0" borderId="0" xfId="0" applyNumberFormat="1" applyFill="1"/>
    <xf numFmtId="2" fontId="4" fillId="3" borderId="0" xfId="0" applyNumberFormat="1" applyFont="1" applyFill="1"/>
    <xf numFmtId="2" fontId="0" fillId="3" borderId="0" xfId="0" applyNumberFormat="1" applyFill="1"/>
    <xf numFmtId="0" fontId="0" fillId="0" borderId="0" xfId="0" applyFill="1" applyBorder="1" applyAlignment="1">
      <alignment horizontal="left"/>
    </xf>
    <xf numFmtId="9" fontId="0" fillId="0" borderId="0" xfId="0" applyNumberFormat="1" applyFill="1" applyBorder="1" applyAlignment="1">
      <alignment horizontal="center"/>
    </xf>
    <xf numFmtId="169" fontId="0" fillId="12" borderId="0" xfId="9" applyNumberFormat="1" applyFont="1" applyFill="1" applyBorder="1"/>
    <xf numFmtId="169" fontId="0" fillId="15" borderId="0" xfId="9" applyNumberFormat="1" applyFont="1" applyFill="1" applyBorder="1"/>
    <xf numFmtId="169" fontId="0" fillId="16" borderId="0" xfId="9" applyNumberFormat="1" applyFont="1" applyFill="1" applyBorder="1"/>
    <xf numFmtId="169" fontId="0" fillId="13" borderId="0" xfId="9" applyNumberFormat="1" applyFont="1" applyFill="1" applyBorder="1"/>
    <xf numFmtId="169" fontId="0" fillId="19" borderId="0" xfId="9" applyNumberFormat="1" applyFont="1" applyFill="1" applyBorder="1"/>
    <xf numFmtId="169" fontId="0" fillId="20" borderId="0" xfId="9" applyNumberFormat="1" applyFont="1" applyFill="1" applyBorder="1"/>
    <xf numFmtId="169" fontId="0" fillId="21" borderId="0" xfId="9" applyNumberFormat="1" applyFont="1" applyFill="1" applyBorder="1"/>
    <xf numFmtId="169" fontId="0" fillId="22" borderId="0" xfId="9" applyNumberFormat="1" applyFont="1" applyFill="1" applyBorder="1"/>
    <xf numFmtId="169" fontId="0" fillId="23" borderId="0" xfId="9" applyNumberFormat="1" applyFont="1" applyFill="1" applyBorder="1"/>
    <xf numFmtId="169" fontId="4" fillId="23" borderId="0" xfId="9" applyNumberFormat="1" applyFont="1" applyFill="1" applyBorder="1"/>
    <xf numFmtId="169" fontId="0" fillId="24" borderId="0" xfId="9" applyNumberFormat="1" applyFont="1" applyFill="1" applyBorder="1"/>
    <xf numFmtId="169" fontId="0" fillId="25" borderId="0" xfId="9" applyNumberFormat="1" applyFont="1" applyFill="1" applyBorder="1"/>
    <xf numFmtId="169" fontId="0" fillId="26" borderId="0" xfId="9" applyNumberFormat="1" applyFont="1" applyFill="1" applyBorder="1"/>
    <xf numFmtId="169" fontId="0" fillId="10" borderId="0" xfId="9" applyNumberFormat="1" applyFont="1" applyFill="1" applyBorder="1"/>
    <xf numFmtId="169" fontId="0" fillId="17" borderId="0" xfId="9" applyNumberFormat="1" applyFont="1" applyFill="1" applyBorder="1"/>
    <xf numFmtId="169" fontId="0" fillId="18" borderId="0" xfId="9" applyNumberFormat="1" applyFont="1" applyFill="1" applyBorder="1"/>
    <xf numFmtId="0" fontId="28" fillId="12" borderId="0" xfId="8" applyFill="1" applyBorder="1" applyAlignment="1">
      <alignment horizontal="center" vertical="center"/>
    </xf>
    <xf numFmtId="0" fontId="28" fillId="10" borderId="0" xfId="8" applyFill="1" applyBorder="1" applyAlignment="1">
      <alignment horizontal="center" vertical="center" wrapText="1"/>
    </xf>
    <xf numFmtId="0" fontId="28" fillId="0" borderId="0" xfId="8" applyBorder="1" applyAlignment="1">
      <alignment horizontal="center"/>
    </xf>
    <xf numFmtId="0" fontId="28" fillId="0" borderId="0" xfId="8" applyBorder="1"/>
    <xf numFmtId="0" fontId="28" fillId="0" borderId="0" xfId="8" applyBorder="1" applyAlignment="1">
      <alignment horizontal="center" wrapText="1"/>
    </xf>
    <xf numFmtId="9" fontId="28" fillId="0" borderId="0" xfId="8" applyNumberFormat="1" applyBorder="1" applyAlignment="1">
      <alignment horizontal="center" wrapText="1"/>
    </xf>
    <xf numFmtId="0" fontId="28" fillId="12" borderId="0" xfId="8" applyFill="1" applyBorder="1" applyAlignment="1">
      <alignment horizontal="center" vertical="center"/>
    </xf>
    <xf numFmtId="0" fontId="28" fillId="12" borderId="0" xfId="8" applyFill="1" applyBorder="1"/>
    <xf numFmtId="0" fontId="28" fillId="10" borderId="0" xfId="8" applyFill="1" applyBorder="1" applyAlignment="1">
      <alignment horizontal="center" vertical="center" wrapText="1"/>
    </xf>
    <xf numFmtId="0" fontId="28" fillId="10" borderId="0" xfId="8" applyFill="1" applyBorder="1"/>
    <xf numFmtId="0" fontId="28" fillId="13" borderId="0" xfId="8" applyFill="1" applyBorder="1" applyAlignment="1">
      <alignment horizontal="center" vertical="center" wrapText="1"/>
    </xf>
    <xf numFmtId="0" fontId="28" fillId="13" borderId="0" xfId="8" applyFill="1" applyBorder="1"/>
    <xf numFmtId="0" fontId="28" fillId="21" borderId="0" xfId="8" applyFill="1" applyBorder="1" applyAlignment="1">
      <alignment horizontal="center" vertical="center" wrapText="1"/>
    </xf>
    <xf numFmtId="0" fontId="28" fillId="21" borderId="0" xfId="8" applyFill="1" applyBorder="1"/>
    <xf numFmtId="0" fontId="28" fillId="24" borderId="0" xfId="8" applyFill="1" applyBorder="1" applyAlignment="1">
      <alignment horizontal="center" vertical="center" wrapText="1"/>
    </xf>
    <xf numFmtId="0" fontId="28" fillId="24" borderId="0" xfId="8" applyFill="1" applyBorder="1"/>
    <xf numFmtId="169" fontId="0" fillId="16" borderId="0" xfId="9" applyNumberFormat="1" applyFont="1" applyFill="1" applyBorder="1" applyAlignment="1">
      <alignment horizontal="center"/>
    </xf>
    <xf numFmtId="169" fontId="0" fillId="18" borderId="0" xfId="9" applyNumberFormat="1" applyFont="1" applyFill="1" applyBorder="1" applyAlignment="1">
      <alignment horizontal="center"/>
    </xf>
    <xf numFmtId="169" fontId="0" fillId="20" borderId="0" xfId="9" applyNumberFormat="1" applyFont="1" applyFill="1" applyBorder="1" applyAlignment="1">
      <alignment horizontal="center"/>
    </xf>
    <xf numFmtId="169" fontId="0" fillId="23" borderId="0" xfId="9" applyNumberFormat="1" applyFont="1" applyFill="1" applyBorder="1" applyAlignment="1">
      <alignment horizontal="center"/>
    </xf>
    <xf numFmtId="169" fontId="4" fillId="23" borderId="0" xfId="9" applyNumberFormat="1" applyFont="1" applyFill="1" applyBorder="1" applyAlignment="1">
      <alignment horizontal="center"/>
    </xf>
    <xf numFmtId="169" fontId="0" fillId="26" borderId="0" xfId="9" applyNumberFormat="1" applyFont="1" applyFill="1" applyBorder="1" applyAlignment="1">
      <alignment horizontal="center"/>
    </xf>
    <xf numFmtId="169" fontId="0" fillId="15" borderId="0" xfId="9" applyNumberFormat="1" applyFont="1" applyFill="1" applyBorder="1" applyAlignment="1">
      <alignment horizontal="center"/>
    </xf>
    <xf numFmtId="169" fontId="0" fillId="17" borderId="0" xfId="9" applyNumberFormat="1" applyFont="1" applyFill="1" applyBorder="1" applyAlignment="1">
      <alignment horizontal="center"/>
    </xf>
    <xf numFmtId="169" fontId="0" fillId="19" borderId="0" xfId="9" applyNumberFormat="1" applyFont="1" applyFill="1" applyBorder="1" applyAlignment="1">
      <alignment horizontal="center"/>
    </xf>
    <xf numFmtId="169" fontId="0" fillId="22" borderId="0" xfId="9" applyNumberFormat="1" applyFont="1" applyFill="1" applyBorder="1" applyAlignment="1">
      <alignment horizontal="center"/>
    </xf>
    <xf numFmtId="169" fontId="0" fillId="25" borderId="0" xfId="9" applyNumberFormat="1" applyFont="1" applyFill="1" applyBorder="1" applyAlignment="1">
      <alignment horizontal="center"/>
    </xf>
    <xf numFmtId="169" fontId="28" fillId="0" borderId="0" xfId="8" applyNumberFormat="1" applyBorder="1"/>
    <xf numFmtId="169" fontId="0" fillId="3" borderId="0" xfId="4" applyNumberFormat="1" applyFont="1" applyFill="1"/>
    <xf numFmtId="0" fontId="28" fillId="27" borderId="0" xfId="8" applyFill="1" applyBorder="1" applyAlignment="1">
      <alignment horizontal="center"/>
    </xf>
    <xf numFmtId="0" fontId="28" fillId="27" borderId="0" xfId="8" applyFill="1" applyBorder="1" applyAlignment="1">
      <alignment horizontal="center"/>
    </xf>
    <xf numFmtId="169" fontId="28" fillId="27" borderId="0" xfId="4" applyNumberFormat="1" applyFont="1" applyFill="1" applyBorder="1"/>
    <xf numFmtId="0" fontId="28" fillId="28" borderId="0" xfId="8" applyFill="1" applyBorder="1" applyAlignment="1">
      <alignment horizontal="center"/>
    </xf>
    <xf numFmtId="169" fontId="28" fillId="28" borderId="0" xfId="4" applyNumberFormat="1" applyFont="1" applyFill="1" applyBorder="1"/>
    <xf numFmtId="0" fontId="28" fillId="29" borderId="0" xfId="8" applyFill="1" applyBorder="1" applyAlignment="1">
      <alignment horizontal="center"/>
    </xf>
    <xf numFmtId="169" fontId="28" fillId="29" borderId="0" xfId="4" applyNumberFormat="1" applyFont="1" applyFill="1" applyBorder="1"/>
    <xf numFmtId="0" fontId="4" fillId="0" borderId="10" xfId="0" applyFont="1" applyBorder="1" applyAlignment="1">
      <alignment horizontal="center"/>
    </xf>
    <xf numFmtId="0" fontId="4" fillId="0" borderId="32" xfId="0" applyFont="1" applyBorder="1" applyAlignment="1">
      <alignment horizontal="center"/>
    </xf>
    <xf numFmtId="0" fontId="4" fillId="0" borderId="22" xfId="0" applyFont="1" applyBorder="1" applyAlignment="1">
      <alignment horizontal="center" wrapText="1"/>
    </xf>
    <xf numFmtId="0" fontId="4" fillId="0" borderId="33" xfId="0" applyFont="1" applyBorder="1" applyAlignment="1">
      <alignment horizontal="center"/>
    </xf>
    <xf numFmtId="166" fontId="4" fillId="0" borderId="24" xfId="0" applyNumberFormat="1" applyFont="1" applyBorder="1"/>
    <xf numFmtId="166" fontId="8" fillId="0" borderId="22" xfId="0" applyNumberFormat="1" applyFont="1" applyBorder="1"/>
    <xf numFmtId="165" fontId="8" fillId="0" borderId="23" xfId="0" applyNumberFormat="1" applyFont="1" applyBorder="1"/>
    <xf numFmtId="0" fontId="4" fillId="0" borderId="18" xfId="0" applyFont="1" applyBorder="1" applyAlignment="1">
      <alignment horizontal="center" wrapText="1"/>
    </xf>
    <xf numFmtId="164" fontId="0" fillId="0" borderId="0" xfId="0" applyNumberFormat="1"/>
    <xf numFmtId="0" fontId="0" fillId="0" borderId="0" xfId="0" applyBorder="1"/>
    <xf numFmtId="0" fontId="1" fillId="0" borderId="0" xfId="0" applyFont="1" applyBorder="1"/>
    <xf numFmtId="0" fontId="0" fillId="0" borderId="0" xfId="0" applyBorder="1" applyAlignment="1">
      <alignment horizontal="center"/>
    </xf>
    <xf numFmtId="1" fontId="0" fillId="0" borderId="0" xfId="0" applyNumberFormat="1" applyFont="1" applyBorder="1" applyAlignment="1">
      <alignment horizontal="center"/>
    </xf>
    <xf numFmtId="43" fontId="31" fillId="0" borderId="0" xfId="0" applyNumberFormat="1" applyFont="1" applyFill="1" applyBorder="1"/>
    <xf numFmtId="176" fontId="31" fillId="0" borderId="0" xfId="0" applyNumberFormat="1" applyFont="1" applyFill="1" applyBorder="1"/>
    <xf numFmtId="177" fontId="1" fillId="0" borderId="26" xfId="0" applyNumberFormat="1" applyFont="1" applyFill="1" applyBorder="1"/>
    <xf numFmtId="169" fontId="31" fillId="0" borderId="0" xfId="0" applyNumberFormat="1" applyFont="1" applyFill="1" applyBorder="1"/>
    <xf numFmtId="0" fontId="14" fillId="0" borderId="3" xfId="0" applyFont="1" applyFill="1" applyBorder="1"/>
    <xf numFmtId="0" fontId="14" fillId="0" borderId="8" xfId="0" applyFont="1" applyFill="1" applyBorder="1" applyAlignment="1">
      <alignment horizontal="center"/>
    </xf>
    <xf numFmtId="177" fontId="1" fillId="0" borderId="27" xfId="0" applyNumberFormat="1" applyFont="1" applyFill="1" applyBorder="1"/>
    <xf numFmtId="0" fontId="0" fillId="0" borderId="26" xfId="0" applyBorder="1"/>
    <xf numFmtId="0" fontId="14" fillId="0" borderId="22" xfId="0" applyFont="1" applyFill="1" applyBorder="1"/>
    <xf numFmtId="0" fontId="14" fillId="0" borderId="23" xfId="0" applyFont="1" applyFill="1" applyBorder="1" applyAlignment="1">
      <alignment horizontal="center"/>
    </xf>
    <xf numFmtId="0" fontId="15" fillId="0" borderId="24" xfId="0" applyFont="1" applyFill="1" applyBorder="1"/>
    <xf numFmtId="0" fontId="0" fillId="0" borderId="21" xfId="0" applyBorder="1"/>
    <xf numFmtId="3" fontId="4" fillId="0" borderId="0" xfId="0" applyNumberFormat="1" applyFont="1" applyFill="1" applyBorder="1" applyAlignment="1">
      <alignment horizontal="center"/>
    </xf>
    <xf numFmtId="0" fontId="6" fillId="0" borderId="0" xfId="0" applyFont="1" applyFill="1" applyBorder="1" applyAlignment="1">
      <alignment horizontal="left"/>
    </xf>
    <xf numFmtId="0" fontId="29" fillId="0" borderId="0" xfId="0" applyFont="1" applyFill="1" applyBorder="1" applyAlignment="1">
      <alignment horizontal="left"/>
    </xf>
    <xf numFmtId="9" fontId="4" fillId="4" borderId="11" xfId="0" applyNumberFormat="1" applyFont="1" applyFill="1" applyBorder="1" applyAlignment="1">
      <alignment horizontal="center"/>
    </xf>
    <xf numFmtId="9" fontId="0" fillId="0" borderId="0" xfId="2" applyFont="1" applyFill="1"/>
    <xf numFmtId="0" fontId="0" fillId="0" borderId="11" xfId="0" applyFont="1" applyBorder="1" applyAlignment="1">
      <alignment horizontal="left"/>
    </xf>
    <xf numFmtId="0" fontId="0" fillId="4" borderId="11" xfId="0" applyFont="1" applyFill="1" applyBorder="1" applyAlignment="1">
      <alignment horizontal="center"/>
    </xf>
    <xf numFmtId="164" fontId="0" fillId="4" borderId="11" xfId="0" applyNumberFormat="1" applyFont="1" applyFill="1" applyBorder="1" applyAlignment="1">
      <alignment horizontal="center"/>
    </xf>
    <xf numFmtId="166" fontId="0" fillId="4" borderId="11" xfId="0" applyNumberFormat="1" applyFont="1" applyFill="1" applyBorder="1" applyAlignment="1">
      <alignment horizontal="center"/>
    </xf>
    <xf numFmtId="166" fontId="0" fillId="2" borderId="11" xfId="0" applyNumberFormat="1" applyFont="1" applyFill="1" applyBorder="1" applyAlignment="1">
      <alignment horizontal="center"/>
    </xf>
    <xf numFmtId="0" fontId="0" fillId="30" borderId="0" xfId="0" applyFill="1"/>
    <xf numFmtId="165" fontId="1" fillId="30" borderId="0" xfId="0" applyNumberFormat="1" applyFont="1" applyFill="1" applyAlignment="1">
      <alignment horizontal="center"/>
    </xf>
    <xf numFmtId="0" fontId="8" fillId="30" borderId="0" xfId="0" applyFont="1" applyFill="1" applyAlignment="1">
      <alignment horizontal="center" wrapText="1"/>
    </xf>
    <xf numFmtId="2" fontId="4" fillId="30" borderId="0" xfId="0" applyNumberFormat="1" applyFont="1" applyFill="1" applyAlignment="1">
      <alignment horizontal="center"/>
    </xf>
    <xf numFmtId="177" fontId="1" fillId="0" borderId="25" xfId="0" applyNumberFormat="1" applyFont="1" applyFill="1" applyBorder="1"/>
    <xf numFmtId="43" fontId="31" fillId="0" borderId="5" xfId="0" applyNumberFormat="1" applyFont="1" applyFill="1" applyBorder="1"/>
    <xf numFmtId="9" fontId="4" fillId="0" borderId="0" xfId="0" applyNumberFormat="1" applyFont="1" applyBorder="1" applyAlignment="1">
      <alignment horizontal="center"/>
    </xf>
    <xf numFmtId="169" fontId="0" fillId="12" borderId="0" xfId="9" applyNumberFormat="1" applyFont="1" applyFill="1"/>
    <xf numFmtId="169" fontId="0" fillId="15" borderId="0" xfId="9" applyNumberFormat="1" applyFont="1" applyFill="1"/>
    <xf numFmtId="169" fontId="0" fillId="16" borderId="0" xfId="9" applyNumberFormat="1" applyFont="1" applyFill="1"/>
    <xf numFmtId="169" fontId="0" fillId="10" borderId="0" xfId="9" applyNumberFormat="1" applyFont="1" applyFill="1"/>
    <xf numFmtId="169" fontId="0" fillId="17" borderId="0" xfId="9" applyNumberFormat="1" applyFont="1" applyFill="1"/>
    <xf numFmtId="169" fontId="0" fillId="18" borderId="0" xfId="9" applyNumberFormat="1" applyFont="1" applyFill="1"/>
    <xf numFmtId="169" fontId="0" fillId="13" borderId="0" xfId="9" applyNumberFormat="1" applyFont="1" applyFill="1"/>
    <xf numFmtId="169" fontId="0" fillId="19" borderId="0" xfId="9" applyNumberFormat="1" applyFont="1" applyFill="1"/>
    <xf numFmtId="169" fontId="0" fillId="20" borderId="0" xfId="9" applyNumberFormat="1" applyFont="1" applyFill="1"/>
    <xf numFmtId="169" fontId="0" fillId="21" borderId="0" xfId="9" applyNumberFormat="1" applyFont="1" applyFill="1"/>
    <xf numFmtId="169" fontId="0" fillId="22" borderId="0" xfId="9" applyNumberFormat="1" applyFont="1" applyFill="1"/>
    <xf numFmtId="169" fontId="0" fillId="23" borderId="0" xfId="9" applyNumberFormat="1" applyFont="1" applyFill="1"/>
    <xf numFmtId="169" fontId="4" fillId="23" borderId="0" xfId="9" applyNumberFormat="1" applyFont="1" applyFill="1"/>
    <xf numFmtId="169" fontId="0" fillId="24" borderId="0" xfId="9" applyNumberFormat="1" applyFont="1" applyFill="1"/>
    <xf numFmtId="169" fontId="0" fillId="25" borderId="0" xfId="9" applyNumberFormat="1" applyFont="1" applyFill="1"/>
    <xf numFmtId="169" fontId="0" fillId="26" borderId="0" xfId="9" applyNumberFormat="1" applyFont="1" applyFill="1"/>
    <xf numFmtId="169" fontId="4" fillId="0" borderId="11" xfId="4" applyNumberFormat="1" applyFont="1" applyFill="1" applyBorder="1" applyAlignment="1">
      <alignment horizontal="center"/>
    </xf>
    <xf numFmtId="172" fontId="28" fillId="0" borderId="20" xfId="0" applyNumberFormat="1" applyFont="1" applyBorder="1" applyAlignment="1">
      <alignment horizontal="right" vertical="center"/>
    </xf>
    <xf numFmtId="172" fontId="28" fillId="0" borderId="20" xfId="0" applyNumberFormat="1" applyFont="1" applyFill="1" applyBorder="1" applyAlignment="1">
      <alignment horizontal="right" vertical="center"/>
    </xf>
    <xf numFmtId="0" fontId="30" fillId="0" borderId="19" xfId="0" applyFont="1" applyBorder="1" applyAlignment="1">
      <alignment horizontal="left"/>
    </xf>
    <xf numFmtId="0" fontId="0" fillId="0" borderId="12" xfId="0" applyFont="1" applyBorder="1" applyAlignment="1">
      <alignment horizontal="right"/>
    </xf>
    <xf numFmtId="166" fontId="0" fillId="0" borderId="20" xfId="0" applyNumberFormat="1" applyFont="1" applyBorder="1" applyAlignment="1"/>
    <xf numFmtId="9" fontId="30" fillId="0" borderId="19" xfId="0" applyNumberFormat="1" applyFont="1" applyBorder="1" applyAlignment="1"/>
    <xf numFmtId="9" fontId="30" fillId="0" borderId="12" xfId="0" applyNumberFormat="1" applyFont="1" applyBorder="1" applyAlignment="1"/>
    <xf numFmtId="9" fontId="30" fillId="0" borderId="20" xfId="0" applyNumberFormat="1" applyFont="1" applyBorder="1" applyAlignment="1"/>
    <xf numFmtId="0" fontId="0" fillId="5" borderId="0" xfId="0" applyFill="1" applyAlignment="1">
      <alignment horizontal="center"/>
    </xf>
    <xf numFmtId="0" fontId="0" fillId="5" borderId="0" xfId="0" applyFill="1" applyBorder="1" applyAlignment="1">
      <alignment horizontal="center"/>
    </xf>
    <xf numFmtId="0" fontId="13" fillId="5" borderId="0" xfId="6" applyFill="1"/>
    <xf numFmtId="167" fontId="0" fillId="5" borderId="0" xfId="2" applyNumberFormat="1" applyFont="1" applyFill="1" applyBorder="1" applyAlignment="1"/>
    <xf numFmtId="0" fontId="0" fillId="5" borderId="0" xfId="0" applyFill="1" applyBorder="1" applyAlignment="1"/>
    <xf numFmtId="0" fontId="0" fillId="5" borderId="0" xfId="0" applyFill="1" applyAlignment="1"/>
    <xf numFmtId="0" fontId="0" fillId="5" borderId="0" xfId="0" applyFont="1" applyFill="1" applyAlignment="1">
      <alignment horizontal="left"/>
    </xf>
    <xf numFmtId="0" fontId="0" fillId="5" borderId="0" xfId="0" applyFont="1" applyFill="1" applyAlignment="1">
      <alignment horizontal="right"/>
    </xf>
    <xf numFmtId="166" fontId="0" fillId="5" borderId="0" xfId="0" applyNumberFormat="1" applyFont="1" applyFill="1" applyAlignment="1"/>
    <xf numFmtId="169" fontId="4" fillId="5" borderId="0" xfId="4" applyNumberFormat="1" applyFont="1" applyFill="1" applyBorder="1" applyAlignment="1"/>
    <xf numFmtId="1" fontId="4" fillId="5" borderId="0" xfId="0" applyNumberFormat="1" applyFont="1" applyFill="1" applyBorder="1" applyAlignment="1"/>
    <xf numFmtId="0" fontId="33" fillId="5" borderId="0" xfId="0" applyFont="1" applyFill="1" applyAlignment="1">
      <alignment horizontal="center"/>
    </xf>
    <xf numFmtId="0" fontId="33" fillId="0" borderId="0" xfId="0" applyFont="1" applyAlignment="1">
      <alignment horizontal="center"/>
    </xf>
    <xf numFmtId="2" fontId="4" fillId="2" borderId="11" xfId="0" applyNumberFormat="1" applyFont="1" applyFill="1" applyBorder="1" applyAlignment="1">
      <alignment horizontal="center"/>
    </xf>
    <xf numFmtId="3" fontId="4" fillId="2" borderId="11" xfId="0" applyNumberFormat="1" applyFont="1" applyFill="1" applyBorder="1" applyAlignment="1">
      <alignment horizontal="center"/>
    </xf>
    <xf numFmtId="9" fontId="4" fillId="2" borderId="11" xfId="2" applyFont="1" applyFill="1" applyBorder="1" applyAlignment="1">
      <alignment horizontal="center"/>
    </xf>
    <xf numFmtId="0" fontId="0" fillId="0" borderId="11" xfId="0" applyFont="1" applyFill="1" applyBorder="1" applyAlignment="1">
      <alignment horizontal="right"/>
    </xf>
    <xf numFmtId="0" fontId="0" fillId="0" borderId="11" xfId="0" applyFont="1" applyFill="1" applyBorder="1" applyAlignment="1">
      <alignment horizontal="center"/>
    </xf>
    <xf numFmtId="6" fontId="17" fillId="31" borderId="20" xfId="0" applyNumberFormat="1" applyFont="1" applyFill="1" applyBorder="1" applyAlignment="1">
      <alignment horizontal="right" vertical="center"/>
    </xf>
    <xf numFmtId="176" fontId="17" fillId="31" borderId="20" xfId="4" applyNumberFormat="1" applyFont="1" applyFill="1" applyBorder="1" applyAlignment="1">
      <alignment horizontal="right" vertical="center"/>
    </xf>
    <xf numFmtId="0" fontId="34" fillId="31" borderId="12" xfId="0" applyFont="1" applyFill="1" applyBorder="1" applyAlignment="1">
      <alignment horizontal="right" vertical="center"/>
    </xf>
    <xf numFmtId="0" fontId="28" fillId="0" borderId="19" xfId="0" applyFont="1" applyBorder="1" applyAlignment="1">
      <alignment vertical="center"/>
    </xf>
    <xf numFmtId="0" fontId="28" fillId="0" borderId="12" xfId="0" applyFont="1" applyBorder="1" applyAlignment="1">
      <alignment vertical="center"/>
    </xf>
    <xf numFmtId="0" fontId="17" fillId="31" borderId="19" xfId="0" applyFont="1" applyFill="1" applyBorder="1" applyAlignment="1">
      <alignment vertical="center"/>
    </xf>
    <xf numFmtId="0" fontId="17" fillId="31" borderId="12" xfId="0" applyFont="1" applyFill="1" applyBorder="1" applyAlignment="1">
      <alignment vertical="center"/>
    </xf>
    <xf numFmtId="6" fontId="8" fillId="6" borderId="20" xfId="0" applyNumberFormat="1" applyFont="1" applyFill="1" applyBorder="1" applyAlignment="1">
      <alignment horizontal="right" vertical="center"/>
    </xf>
    <xf numFmtId="0" fontId="8" fillId="6" borderId="19" xfId="0" applyFont="1" applyFill="1" applyBorder="1" applyAlignment="1">
      <alignment vertical="center"/>
    </xf>
    <xf numFmtId="0" fontId="8" fillId="6" borderId="12" xfId="0" applyFont="1" applyFill="1" applyBorder="1" applyAlignment="1">
      <alignment vertical="center"/>
    </xf>
    <xf numFmtId="2" fontId="5" fillId="0" borderId="0" xfId="0" applyNumberFormat="1" applyFont="1"/>
    <xf numFmtId="43" fontId="0" fillId="0" borderId="0" xfId="0" applyNumberFormat="1"/>
    <xf numFmtId="176" fontId="31" fillId="0" borderId="6" xfId="0" applyNumberFormat="1" applyFont="1" applyFill="1" applyBorder="1"/>
    <xf numFmtId="0" fontId="34" fillId="31" borderId="19" xfId="0" applyFont="1" applyFill="1" applyBorder="1" applyAlignment="1">
      <alignment horizontal="left" vertical="center"/>
    </xf>
    <xf numFmtId="0" fontId="34" fillId="31" borderId="12" xfId="0" applyFont="1" applyFill="1" applyBorder="1" applyAlignment="1">
      <alignment vertical="center"/>
    </xf>
    <xf numFmtId="0" fontId="26" fillId="0" borderId="0" xfId="0" applyFont="1" applyAlignment="1">
      <alignment horizontal="center"/>
    </xf>
    <xf numFmtId="0" fontId="6" fillId="0" borderId="0" xfId="0" applyFont="1" applyFill="1"/>
    <xf numFmtId="3" fontId="28" fillId="27" borderId="0" xfId="8" applyNumberFormat="1" applyFill="1" applyBorder="1"/>
    <xf numFmtId="3" fontId="28" fillId="27" borderId="0" xfId="4" applyNumberFormat="1" applyFont="1" applyFill="1" applyBorder="1"/>
    <xf numFmtId="3" fontId="28" fillId="28" borderId="0" xfId="8" applyNumberFormat="1" applyFill="1" applyBorder="1"/>
    <xf numFmtId="3" fontId="28" fillId="28" borderId="0" xfId="4" applyNumberFormat="1" applyFont="1" applyFill="1" applyBorder="1"/>
    <xf numFmtId="3" fontId="28" fillId="29" borderId="0" xfId="8" applyNumberFormat="1" applyFill="1" applyBorder="1"/>
    <xf numFmtId="165" fontId="4" fillId="0" borderId="0" xfId="0" applyNumberFormat="1" applyFont="1" applyFill="1"/>
    <xf numFmtId="0" fontId="30" fillId="0" borderId="13"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4" fillId="31" borderId="11" xfId="0" applyFont="1" applyFill="1" applyBorder="1" applyAlignment="1">
      <alignment horizontal="center" vertical="center"/>
    </xf>
    <xf numFmtId="0" fontId="8" fillId="6" borderId="19" xfId="0" applyFont="1" applyFill="1" applyBorder="1" applyAlignment="1">
      <alignment vertical="center"/>
    </xf>
    <xf numFmtId="0" fontId="8" fillId="6" borderId="12" xfId="0" applyFont="1" applyFill="1" applyBorder="1" applyAlignment="1">
      <alignment vertical="center"/>
    </xf>
    <xf numFmtId="0" fontId="34" fillId="31" borderId="12" xfId="0" applyFont="1" applyFill="1" applyBorder="1" applyAlignment="1">
      <alignment horizontal="right" vertical="center"/>
    </xf>
    <xf numFmtId="0" fontId="34" fillId="31" borderId="20" xfId="0" applyFont="1" applyFill="1" applyBorder="1" applyAlignment="1">
      <alignment horizontal="right" vertical="center"/>
    </xf>
    <xf numFmtId="0" fontId="28" fillId="0" borderId="19" xfId="0" applyFont="1" applyBorder="1" applyAlignment="1">
      <alignment vertical="center"/>
    </xf>
    <xf numFmtId="0" fontId="28" fillId="0" borderId="12" xfId="0" applyFont="1" applyBorder="1" applyAlignment="1">
      <alignment vertical="center"/>
    </xf>
    <xf numFmtId="0" fontId="34" fillId="31" borderId="19" xfId="0" applyFont="1" applyFill="1" applyBorder="1" applyAlignment="1">
      <alignment horizontal="center" vertical="center"/>
    </xf>
    <xf numFmtId="0" fontId="34" fillId="31" borderId="12" xfId="0" applyFont="1" applyFill="1" applyBorder="1" applyAlignment="1">
      <alignment horizontal="center" vertical="center"/>
    </xf>
    <xf numFmtId="0" fontId="17" fillId="31" borderId="19" xfId="0" applyFont="1" applyFill="1" applyBorder="1" applyAlignment="1">
      <alignment vertical="center"/>
    </xf>
    <xf numFmtId="0" fontId="17" fillId="31" borderId="12" xfId="0" applyFont="1" applyFill="1" applyBorder="1" applyAlignment="1">
      <alignment vertical="center"/>
    </xf>
    <xf numFmtId="0" fontId="32" fillId="5" borderId="11" xfId="0" applyFont="1" applyFill="1" applyBorder="1" applyAlignment="1">
      <alignment horizontal="center" vertical="center"/>
    </xf>
    <xf numFmtId="0" fontId="17" fillId="31" borderId="11" xfId="0" applyFont="1" applyFill="1" applyBorder="1" applyAlignment="1">
      <alignment horizontal="center" vertical="center"/>
    </xf>
    <xf numFmtId="0" fontId="32" fillId="5" borderId="19" xfId="0" applyFont="1" applyFill="1" applyBorder="1" applyAlignment="1">
      <alignment horizontal="center" vertical="center"/>
    </xf>
    <xf numFmtId="0" fontId="32" fillId="5" borderId="12" xfId="0" applyFont="1" applyFill="1" applyBorder="1" applyAlignment="1">
      <alignment horizontal="center" vertical="center"/>
    </xf>
    <xf numFmtId="0" fontId="32" fillId="5" borderId="20" xfId="0" applyFont="1" applyFill="1" applyBorder="1" applyAlignment="1">
      <alignment horizontal="center" vertical="center"/>
    </xf>
    <xf numFmtId="173" fontId="16" fillId="5" borderId="13" xfId="5" applyNumberFormat="1" applyFont="1" applyFill="1" applyBorder="1" applyAlignment="1">
      <alignment horizontal="center" vertical="center"/>
    </xf>
    <xf numFmtId="173" fontId="16" fillId="5" borderId="14" xfId="5" applyNumberFormat="1" applyFont="1" applyFill="1" applyBorder="1" applyAlignment="1">
      <alignment horizontal="center" vertical="center"/>
    </xf>
    <xf numFmtId="173" fontId="16" fillId="5" borderId="1" xfId="5" applyNumberFormat="1" applyFont="1" applyFill="1" applyBorder="1" applyAlignment="1">
      <alignment horizontal="center" vertic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5" xfId="0" applyFont="1" applyBorder="1" applyAlignment="1">
      <alignment horizontal="center" wrapText="1"/>
    </xf>
    <xf numFmtId="0" fontId="4" fillId="0" borderId="0" xfId="0" applyFont="1" applyBorder="1" applyAlignment="1">
      <alignment horizontal="center" wrapText="1"/>
    </xf>
    <xf numFmtId="0" fontId="16" fillId="5" borderId="12" xfId="0" applyFont="1" applyFill="1" applyBorder="1" applyAlignment="1">
      <alignment horizontal="center"/>
    </xf>
    <xf numFmtId="0" fontId="16" fillId="5" borderId="20" xfId="0" applyFont="1" applyFill="1" applyBorder="1" applyAlignment="1">
      <alignment horizontal="center"/>
    </xf>
    <xf numFmtId="0" fontId="16" fillId="5" borderId="17" xfId="0" applyFont="1" applyFill="1" applyBorder="1" applyAlignment="1">
      <alignment horizontal="center"/>
    </xf>
    <xf numFmtId="0" fontId="16" fillId="5" borderId="10" xfId="0" applyFont="1" applyFill="1" applyBorder="1" applyAlignment="1">
      <alignment horizontal="center"/>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1" fillId="0" borderId="0" xfId="0" applyFont="1" applyAlignment="1">
      <alignment horizontal="center"/>
    </xf>
    <xf numFmtId="165" fontId="1" fillId="0" borderId="0" xfId="0" applyNumberFormat="1" applyFont="1" applyFill="1" applyAlignment="1">
      <alignment horizontal="center"/>
    </xf>
    <xf numFmtId="0" fontId="0" fillId="0" borderId="0" xfId="0" applyFill="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3" fontId="1" fillId="0" borderId="2" xfId="5" applyNumberFormat="1" applyFont="1" applyFill="1" applyBorder="1" applyAlignment="1">
      <alignment horizontal="center"/>
    </xf>
    <xf numFmtId="173" fontId="1" fillId="0" borderId="4" xfId="5" applyNumberFormat="1" applyFont="1" applyFill="1" applyBorder="1" applyAlignment="1">
      <alignment horizontal="center"/>
    </xf>
    <xf numFmtId="0" fontId="1" fillId="0" borderId="4" xfId="0" applyFont="1" applyFill="1" applyBorder="1" applyAlignment="1">
      <alignment horizontal="center" vertical="center"/>
    </xf>
    <xf numFmtId="0" fontId="0" fillId="0" borderId="0" xfId="0" applyAlignment="1">
      <alignment horizontal="left" wrapText="1"/>
    </xf>
    <xf numFmtId="0" fontId="28" fillId="27" borderId="0" xfId="8" applyFill="1" applyBorder="1" applyAlignment="1">
      <alignment horizontal="center" vertical="center"/>
    </xf>
    <xf numFmtId="0" fontId="28" fillId="0" borderId="0" xfId="8" applyBorder="1" applyAlignment="1">
      <alignment horizontal="center"/>
    </xf>
    <xf numFmtId="0" fontId="28" fillId="13" borderId="0" xfId="8" applyFill="1" applyBorder="1" applyAlignment="1">
      <alignment horizontal="center" vertical="center" wrapText="1"/>
    </xf>
    <xf numFmtId="0" fontId="28" fillId="21" borderId="0" xfId="8" applyFill="1" applyBorder="1" applyAlignment="1">
      <alignment horizontal="center" vertical="center" wrapText="1"/>
    </xf>
    <xf numFmtId="0" fontId="28" fillId="24" borderId="0" xfId="8" applyFill="1" applyBorder="1" applyAlignment="1">
      <alignment horizontal="center" vertical="center" wrapText="1"/>
    </xf>
    <xf numFmtId="0" fontId="28" fillId="12" borderId="0" xfId="8" applyFill="1" applyBorder="1" applyAlignment="1">
      <alignment horizontal="center" vertical="center"/>
    </xf>
    <xf numFmtId="0" fontId="28" fillId="10" borderId="0" xfId="8" applyFill="1" applyBorder="1" applyAlignment="1">
      <alignment horizontal="center" vertical="center" wrapText="1"/>
    </xf>
  </cellXfs>
  <cellStyles count="10">
    <cellStyle name="Comma" xfId="4" builtinId="3"/>
    <cellStyle name="Comma 2" xfId="9" xr:uid="{00000000-0005-0000-0000-000001000000}"/>
    <cellStyle name="Currency" xfId="5" builtinId="4"/>
    <cellStyle name="Hyperlink" xfId="6" builtinId="8"/>
    <cellStyle name="Normal" xfId="0" builtinId="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s>
  <dxfs count="0"/>
  <tableStyles count="0" defaultTableStyle="TableStyleMedium2" defaultPivotStyle="PivotStyleLight16"/>
  <colors>
    <mruColors>
      <color rgb="FFFF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pps.bea.gov/iTable/iTable.cfm?reqid=19&amp;step=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cdan.nhtsa.gov/tsftables/tsfar.htm" TargetMode="External"/><Relationship Id="rId13" Type="http://schemas.openxmlformats.org/officeDocument/2006/relationships/printerSettings" Target="../printerSettings/printerSettings5.bin"/><Relationship Id="rId3" Type="http://schemas.openxmlformats.org/officeDocument/2006/relationships/hyperlink" Target="https://www.transportation.gov/sites/dot.gov/files/docs/mission/office-policy/transportation-policy/284031/benefit-cost-analysis-guidance-2018_0.pdf" TargetMode="External"/><Relationship Id="rId7" Type="http://schemas.openxmlformats.org/officeDocument/2006/relationships/hyperlink" Target="https://cdan.nhtsa.gov/tsftables/tsfar.htm" TargetMode="External"/><Relationship Id="rId12" Type="http://schemas.openxmlformats.org/officeDocument/2006/relationships/hyperlink" Target="http://www.cmfclearinghouse.org/index.cfm" TargetMode="External"/><Relationship Id="rId2" Type="http://schemas.openxmlformats.org/officeDocument/2006/relationships/hyperlink" Target="https://www.transportation.gov/sites/dot.gov/files/docs/mission/office-policy/transportation-policy/284031/benefit-cost-analysis-guidance-2018_0.pdf" TargetMode="External"/><Relationship Id="rId1" Type="http://schemas.openxmlformats.org/officeDocument/2006/relationships/hyperlink" Target="http://atri-online.org/wp-content/uploads/2017/10/ATRI-Operational-Costs-of-Trucking-2017-10-2017.pdf" TargetMode="External"/><Relationship Id="rId6" Type="http://schemas.openxmlformats.org/officeDocument/2006/relationships/hyperlink" Target="https://www.transportation.gov/sites/dot.gov/files/docs/mission/office-policy/transportation-policy/284031/benefit-cost-analysis-guidance-2018_0.pdf" TargetMode="External"/><Relationship Id="rId11" Type="http://schemas.openxmlformats.org/officeDocument/2006/relationships/hyperlink" Target="https://minds.wisconsin.edu/bitstream/handle/1793/69510/MS_Thesis_AsareYeboah_Veronica.pdf?sequence=1&amp;isAllowed=y" TargetMode="External"/><Relationship Id="rId5" Type="http://schemas.openxmlformats.org/officeDocument/2006/relationships/hyperlink" Target="https://www.eia.gov/dnav/pet/pet_pri_gnd_dcus_r30_a.htm" TargetMode="External"/><Relationship Id="rId10" Type="http://schemas.openxmlformats.org/officeDocument/2006/relationships/hyperlink" Target="https://safety.fhwa.dot.gov/hsip/docs/fhwasa17071.pdf" TargetMode="External"/><Relationship Id="rId4" Type="http://schemas.openxmlformats.org/officeDocument/2006/relationships/hyperlink" Target="https://www.eia.gov/dnav/pet/pet_pri_gnd_a_epd2d_pte_dpgal_a.htm" TargetMode="External"/><Relationship Id="rId9" Type="http://schemas.openxmlformats.org/officeDocument/2006/relationships/hyperlink" Target="http://www.cmfclearinghouse.org/index.cf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L64"/>
  <sheetViews>
    <sheetView showGridLines="0" tabSelected="1" workbookViewId="0">
      <selection activeCell="B3" sqref="B3"/>
    </sheetView>
  </sheetViews>
  <sheetFormatPr defaultColWidth="8.77734375" defaultRowHeight="14.4"/>
  <cols>
    <col min="1" max="1" width="4.6640625" style="55" customWidth="1"/>
    <col min="2" max="2" width="36.21875" style="55" customWidth="1"/>
    <col min="3" max="3" width="19.109375" style="55" bestFit="1" customWidth="1"/>
    <col min="4" max="4" width="4.6640625" style="55" customWidth="1"/>
    <col min="5" max="5" width="27.77734375" style="55" customWidth="1"/>
    <col min="6" max="6" width="11.6640625" style="55" customWidth="1"/>
    <col min="7" max="7" width="17.44140625" style="55" customWidth="1"/>
    <col min="8" max="8" width="4.6640625" style="55" customWidth="1"/>
    <col min="9" max="9" width="10" style="55" customWidth="1"/>
    <col min="10" max="11" width="8.77734375" style="55" hidden="1" customWidth="1"/>
    <col min="12" max="16384" width="8.77734375" style="55"/>
  </cols>
  <sheetData>
    <row r="1" spans="1:11" s="379" customFormat="1" ht="25.5" customHeight="1">
      <c r="A1" s="378"/>
      <c r="B1" s="423" t="s">
        <v>46</v>
      </c>
      <c r="C1" s="423"/>
      <c r="D1" s="378"/>
      <c r="E1" s="425" t="s">
        <v>410</v>
      </c>
      <c r="F1" s="426"/>
      <c r="G1" s="427"/>
      <c r="H1" s="378"/>
    </row>
    <row r="2" spans="1:11" s="57" customFormat="1">
      <c r="A2" s="367"/>
      <c r="B2" s="424" t="s">
        <v>426</v>
      </c>
      <c r="C2" s="424"/>
      <c r="D2" s="367"/>
      <c r="E2" s="398" t="s">
        <v>27</v>
      </c>
      <c r="F2" s="415" t="s">
        <v>406</v>
      </c>
      <c r="G2" s="416"/>
      <c r="H2" s="367"/>
    </row>
    <row r="3" spans="1:11" s="19" customFormat="1">
      <c r="A3" s="367"/>
      <c r="B3" s="330" t="s">
        <v>84</v>
      </c>
      <c r="C3" s="380" t="s">
        <v>369</v>
      </c>
      <c r="D3" s="367"/>
      <c r="E3" s="417" t="s">
        <v>28</v>
      </c>
      <c r="F3" s="418"/>
      <c r="G3" s="359">
        <f>'BCA Summary'!H26/1000000</f>
        <v>149.45998812824615</v>
      </c>
      <c r="H3" s="367"/>
      <c r="J3" s="326" t="s">
        <v>397</v>
      </c>
      <c r="K3" s="327"/>
    </row>
    <row r="4" spans="1:11" s="19" customFormat="1">
      <c r="A4" s="367"/>
      <c r="B4" s="330" t="s">
        <v>382</v>
      </c>
      <c r="C4" s="381">
        <v>11000</v>
      </c>
      <c r="D4" s="367"/>
      <c r="E4" s="417" t="s">
        <v>414</v>
      </c>
      <c r="F4" s="418"/>
      <c r="G4" s="359">
        <f>'BCA Summary'!L26/1000000</f>
        <v>176.38270681269762</v>
      </c>
      <c r="H4" s="367"/>
      <c r="J4" s="325">
        <v>3000</v>
      </c>
      <c r="K4" s="246" t="s">
        <v>360</v>
      </c>
    </row>
    <row r="5" spans="1:11" s="19" customFormat="1">
      <c r="A5" s="367"/>
      <c r="B5" s="330" t="s">
        <v>361</v>
      </c>
      <c r="C5" s="382">
        <v>0.4</v>
      </c>
      <c r="D5" s="368"/>
      <c r="E5" s="417" t="s">
        <v>29</v>
      </c>
      <c r="F5" s="418"/>
      <c r="G5" s="360">
        <f>'BCA Summary'!P26/1000000</f>
        <v>230.0123296395729</v>
      </c>
      <c r="H5" s="367"/>
      <c r="J5" s="325">
        <v>5000</v>
      </c>
      <c r="K5" s="246"/>
    </row>
    <row r="6" spans="1:11" s="19" customFormat="1">
      <c r="A6" s="367"/>
      <c r="B6" s="330" t="s">
        <v>399</v>
      </c>
      <c r="C6" s="328">
        <v>0.02</v>
      </c>
      <c r="D6" s="368"/>
      <c r="E6" s="417" t="s">
        <v>30</v>
      </c>
      <c r="F6" s="418"/>
      <c r="G6" s="359">
        <f>'BCA Summary'!T26/1000000</f>
        <v>1.3361627019307603</v>
      </c>
      <c r="H6" s="367"/>
      <c r="J6" s="325">
        <v>7000</v>
      </c>
      <c r="K6" s="246"/>
    </row>
    <row r="7" spans="1:11">
      <c r="A7" s="372"/>
      <c r="B7" s="330" t="s">
        <v>24</v>
      </c>
      <c r="C7" s="172">
        <v>2021</v>
      </c>
      <c r="D7" s="369"/>
      <c r="E7" s="413" t="s">
        <v>6</v>
      </c>
      <c r="F7" s="414"/>
      <c r="G7" s="392">
        <f>SUM(G3:G6)</f>
        <v>557.19118728244746</v>
      </c>
      <c r="H7" s="372"/>
      <c r="J7" s="325">
        <v>9000</v>
      </c>
      <c r="K7" s="246"/>
    </row>
    <row r="8" spans="1:11">
      <c r="A8" s="372"/>
      <c r="B8" s="330" t="s">
        <v>10</v>
      </c>
      <c r="C8" s="172">
        <v>2023</v>
      </c>
      <c r="D8" s="369"/>
      <c r="E8" s="417" t="s">
        <v>31</v>
      </c>
      <c r="F8" s="418"/>
      <c r="G8" s="359">
        <f>'BCA Summary'!AA26/1000000</f>
        <v>38.791397448836463</v>
      </c>
      <c r="H8" s="372"/>
      <c r="J8" s="325">
        <v>11000</v>
      </c>
      <c r="K8" s="4" t="s">
        <v>358</v>
      </c>
    </row>
    <row r="9" spans="1:11">
      <c r="A9" s="372"/>
      <c r="B9" s="330" t="s">
        <v>47</v>
      </c>
      <c r="C9" s="331">
        <v>2020</v>
      </c>
      <c r="D9" s="370"/>
      <c r="E9" s="413" t="s">
        <v>7</v>
      </c>
      <c r="F9" s="414"/>
      <c r="G9" s="392">
        <f>G8</f>
        <v>38.791397448836463</v>
      </c>
      <c r="H9" s="372"/>
      <c r="J9" s="325">
        <v>13000</v>
      </c>
      <c r="K9" s="4"/>
    </row>
    <row r="10" spans="1:11">
      <c r="A10" s="372"/>
      <c r="B10" s="330" t="s">
        <v>48</v>
      </c>
      <c r="C10" s="332">
        <v>40</v>
      </c>
      <c r="D10" s="370"/>
      <c r="E10" s="421" t="s">
        <v>32</v>
      </c>
      <c r="F10" s="422"/>
      <c r="G10" s="386">
        <f>G7/G9</f>
        <v>14.36378227975286</v>
      </c>
      <c r="H10" s="372"/>
      <c r="J10" s="325">
        <v>15000</v>
      </c>
      <c r="K10" s="4"/>
    </row>
    <row r="11" spans="1:11">
      <c r="A11" s="372"/>
      <c r="B11" s="330" t="s">
        <v>330</v>
      </c>
      <c r="C11" s="333">
        <f>IF(C3="2S-23",'Project Costs'!AP21,IF(C3="2S-33",'Project Costs'!AP21,IF('Inputs and Results'!C3="2S-26",'Project Costs'!AP21,IF('Inputs and Results'!C3="2S-36",'Project Costs'!AP21,IF('Inputs and Results'!C3="4U",'Project Costs'!AP26,IF('Inputs and Results'!C3="4D",'Project Costs'!AP25,0))))))*'Inputs and Results'!C10</f>
        <v>40545609.412286311</v>
      </c>
      <c r="D11" s="370"/>
      <c r="E11" s="390" t="s">
        <v>411</v>
      </c>
      <c r="F11" s="391"/>
      <c r="G11" s="385">
        <f>G7-G9</f>
        <v>518.39978983361095</v>
      </c>
      <c r="H11" s="372"/>
      <c r="J11" s="325">
        <v>17000</v>
      </c>
      <c r="K11" s="4"/>
    </row>
    <row r="12" spans="1:11">
      <c r="A12" s="372"/>
      <c r="B12" s="330" t="s">
        <v>331</v>
      </c>
      <c r="C12" s="334"/>
      <c r="D12" s="367"/>
      <c r="E12" s="364" t="s">
        <v>93</v>
      </c>
      <c r="F12" s="365"/>
      <c r="G12" s="366"/>
      <c r="H12" s="372"/>
      <c r="J12" s="325">
        <v>19000</v>
      </c>
      <c r="K12" s="246" t="s">
        <v>359</v>
      </c>
    </row>
    <row r="13" spans="1:11">
      <c r="A13" s="372"/>
      <c r="B13" s="376"/>
      <c r="C13" s="377"/>
      <c r="D13" s="367"/>
      <c r="E13" s="373"/>
      <c r="F13" s="374"/>
      <c r="G13" s="375"/>
      <c r="H13" s="372"/>
      <c r="J13" s="246"/>
      <c r="K13" s="246"/>
    </row>
    <row r="14" spans="1:11">
      <c r="A14" s="372"/>
      <c r="B14" s="419" t="s">
        <v>400</v>
      </c>
      <c r="C14" s="420"/>
      <c r="D14" s="368"/>
      <c r="E14" s="398" t="s">
        <v>27</v>
      </c>
      <c r="F14" s="399"/>
      <c r="G14" s="387" t="s">
        <v>406</v>
      </c>
      <c r="H14" s="372"/>
      <c r="J14" s="326" t="s">
        <v>362</v>
      </c>
      <c r="K14" s="246"/>
    </row>
    <row r="15" spans="1:11">
      <c r="A15" s="372"/>
      <c r="B15" s="383" t="s">
        <v>371</v>
      </c>
      <c r="C15" s="358" t="s">
        <v>367</v>
      </c>
      <c r="D15" s="368"/>
      <c r="E15" s="388" t="s">
        <v>28</v>
      </c>
      <c r="F15" s="389"/>
      <c r="G15" s="359">
        <f>('BCA Summary'!G26)/1000000</f>
        <v>244.61313345852182</v>
      </c>
      <c r="H15" s="372"/>
      <c r="J15" s="247">
        <v>0.2</v>
      </c>
      <c r="K15" s="246" t="s">
        <v>360</v>
      </c>
    </row>
    <row r="16" spans="1:11">
      <c r="A16" s="372"/>
      <c r="B16" s="383" t="s">
        <v>373</v>
      </c>
      <c r="C16" s="358" t="s">
        <v>368</v>
      </c>
      <c r="D16" s="368"/>
      <c r="E16" s="388" t="s">
        <v>414</v>
      </c>
      <c r="F16" s="389"/>
      <c r="G16" s="359">
        <f>('BCA Summary'!K26)/1000000</f>
        <v>288.6761008192247</v>
      </c>
      <c r="H16" s="372"/>
      <c r="J16" s="247">
        <v>0.3</v>
      </c>
      <c r="K16" s="4" t="s">
        <v>358</v>
      </c>
    </row>
    <row r="17" spans="1:12">
      <c r="A17" s="372"/>
      <c r="B17" s="383" t="s">
        <v>372</v>
      </c>
      <c r="C17" s="358" t="s">
        <v>369</v>
      </c>
      <c r="D17" s="368"/>
      <c r="E17" s="388" t="s">
        <v>29</v>
      </c>
      <c r="F17" s="389"/>
      <c r="G17" s="360">
        <f>'BCA Summary'!O26/1000000</f>
        <v>376.44882347342514</v>
      </c>
      <c r="H17" s="372"/>
      <c r="J17" s="247">
        <v>0.4</v>
      </c>
      <c r="K17" s="246" t="s">
        <v>359</v>
      </c>
    </row>
    <row r="18" spans="1:12">
      <c r="A18" s="372"/>
      <c r="B18" s="383" t="s">
        <v>374</v>
      </c>
      <c r="C18" s="358" t="s">
        <v>370</v>
      </c>
      <c r="D18" s="368"/>
      <c r="E18" s="388" t="s">
        <v>30</v>
      </c>
      <c r="F18" s="389"/>
      <c r="G18" s="359">
        <f>'BCA Summary'!S26/1000000</f>
        <v>2.1868257145132128</v>
      </c>
      <c r="H18" s="372"/>
    </row>
    <row r="19" spans="1:12">
      <c r="A19" s="372"/>
      <c r="B19" s="383" t="s">
        <v>328</v>
      </c>
      <c r="C19" s="358" t="s">
        <v>326</v>
      </c>
      <c r="D19" s="368"/>
      <c r="E19" s="393" t="s">
        <v>6</v>
      </c>
      <c r="F19" s="394"/>
      <c r="G19" s="392">
        <f>SUM(G15:G18)</f>
        <v>911.92488346568496</v>
      </c>
      <c r="H19" s="368"/>
      <c r="I19" s="134"/>
    </row>
    <row r="20" spans="1:12">
      <c r="A20" s="372"/>
      <c r="B20" s="383" t="s">
        <v>329</v>
      </c>
      <c r="C20" s="358" t="s">
        <v>325</v>
      </c>
      <c r="D20" s="368"/>
      <c r="E20" s="388" t="s">
        <v>31</v>
      </c>
      <c r="F20" s="389"/>
      <c r="G20" s="359">
        <f>'BCA Summary'!Y26/1000000</f>
        <v>40.545609412286311</v>
      </c>
      <c r="H20" s="372"/>
      <c r="L20" s="70"/>
    </row>
    <row r="21" spans="1:12">
      <c r="A21" s="372"/>
      <c r="B21" s="383" t="s">
        <v>407</v>
      </c>
      <c r="C21" s="384" t="s">
        <v>380</v>
      </c>
      <c r="D21" s="371"/>
      <c r="E21" s="393" t="s">
        <v>7</v>
      </c>
      <c r="F21" s="394"/>
      <c r="G21" s="392">
        <f>G20</f>
        <v>40.545609412286311</v>
      </c>
      <c r="H21" s="372"/>
      <c r="L21" s="70"/>
    </row>
    <row r="22" spans="1:12">
      <c r="A22" s="372"/>
      <c r="B22" s="412" t="s">
        <v>408</v>
      </c>
      <c r="C22" s="412"/>
      <c r="D22" s="371"/>
      <c r="E22" s="390" t="s">
        <v>32</v>
      </c>
      <c r="F22" s="391"/>
      <c r="G22" s="386">
        <f>G19/G21</f>
        <v>22.49133498507361</v>
      </c>
      <c r="H22" s="368"/>
      <c r="I22" s="134"/>
      <c r="L22" s="70"/>
    </row>
    <row r="23" spans="1:12">
      <c r="A23" s="372"/>
      <c r="B23" s="408" t="s">
        <v>409</v>
      </c>
      <c r="C23" s="409"/>
      <c r="D23" s="372"/>
      <c r="E23" s="390" t="s">
        <v>411</v>
      </c>
      <c r="F23" s="391"/>
      <c r="G23" s="385">
        <f>G19-G21</f>
        <v>871.3792740533986</v>
      </c>
      <c r="H23" s="368"/>
      <c r="I23" s="134"/>
      <c r="L23" s="70"/>
    </row>
    <row r="24" spans="1:12">
      <c r="A24" s="372"/>
      <c r="B24" s="410"/>
      <c r="C24" s="411"/>
      <c r="D24" s="372"/>
      <c r="E24" s="361" t="s">
        <v>65</v>
      </c>
      <c r="F24" s="362"/>
      <c r="G24" s="363"/>
      <c r="H24" s="368"/>
      <c r="I24" s="134"/>
      <c r="J24" s="141"/>
    </row>
    <row r="25" spans="1:12">
      <c r="A25" s="372"/>
      <c r="B25" s="372"/>
      <c r="C25" s="372"/>
      <c r="D25" s="371"/>
      <c r="E25" s="372"/>
      <c r="F25" s="372"/>
      <c r="G25" s="372"/>
      <c r="H25" s="368"/>
      <c r="I25" s="134"/>
      <c r="J25" s="141"/>
      <c r="K25" s="70"/>
    </row>
    <row r="26" spans="1:12">
      <c r="D26" s="141"/>
      <c r="H26" s="134"/>
      <c r="I26" s="134"/>
      <c r="K26" s="70"/>
    </row>
    <row r="27" spans="1:12">
      <c r="D27" s="141"/>
      <c r="H27" s="134"/>
      <c r="I27" s="134"/>
      <c r="J27" s="69"/>
      <c r="K27" s="70"/>
    </row>
    <row r="28" spans="1:12">
      <c r="D28" s="234"/>
      <c r="H28" s="134"/>
      <c r="I28" s="160"/>
      <c r="J28" s="71"/>
      <c r="K28" s="70"/>
    </row>
    <row r="29" spans="1:12">
      <c r="D29" s="234"/>
      <c r="H29" s="134"/>
      <c r="I29" s="134"/>
      <c r="J29" s="71"/>
    </row>
    <row r="30" spans="1:12">
      <c r="B30" s="234"/>
      <c r="C30" s="234"/>
      <c r="D30" s="235"/>
      <c r="H30" s="134"/>
      <c r="I30" s="134"/>
      <c r="J30" s="71"/>
    </row>
    <row r="31" spans="1:12">
      <c r="B31" s="236"/>
      <c r="C31" s="236"/>
      <c r="D31" s="234"/>
      <c r="H31" s="134"/>
      <c r="I31" s="134"/>
      <c r="J31" s="71"/>
      <c r="L31" s="70"/>
    </row>
    <row r="32" spans="1:12">
      <c r="B32" s="237"/>
      <c r="C32" s="237"/>
      <c r="D32" s="236"/>
      <c r="H32" s="134"/>
      <c r="I32" s="134"/>
      <c r="L32" s="70"/>
    </row>
    <row r="33" spans="2:12">
      <c r="B33" s="240"/>
      <c r="C33" s="238"/>
      <c r="D33" s="238"/>
      <c r="H33" s="134"/>
      <c r="I33" s="134"/>
      <c r="L33" s="70"/>
    </row>
    <row r="34" spans="2:12">
      <c r="B34" s="241"/>
      <c r="C34" s="238"/>
      <c r="D34" s="238"/>
      <c r="H34" s="134"/>
      <c r="I34" s="134"/>
      <c r="J34" s="141"/>
      <c r="L34" s="70"/>
    </row>
    <row r="35" spans="2:12">
      <c r="B35" s="241"/>
      <c r="C35" s="238"/>
      <c r="D35" s="238"/>
      <c r="H35" s="134"/>
      <c r="I35" s="134"/>
      <c r="J35" s="141"/>
      <c r="L35" s="70"/>
    </row>
    <row r="36" spans="2:12">
      <c r="B36" s="241"/>
      <c r="C36" s="238"/>
      <c r="D36" s="238"/>
      <c r="H36" s="134"/>
      <c r="I36" s="134"/>
      <c r="J36" s="141"/>
    </row>
    <row r="37" spans="2:12">
      <c r="B37" s="241"/>
      <c r="C37" s="236"/>
      <c r="D37" s="238"/>
      <c r="H37" s="134"/>
      <c r="I37" s="134"/>
      <c r="J37" s="141"/>
      <c r="K37" s="70"/>
    </row>
    <row r="38" spans="2:12">
      <c r="B38" s="241"/>
      <c r="C38" s="236"/>
      <c r="D38" s="236"/>
      <c r="H38" s="134"/>
      <c r="I38" s="134"/>
      <c r="J38" s="141"/>
      <c r="K38" s="70"/>
    </row>
    <row r="39" spans="2:12">
      <c r="B39" s="239"/>
      <c r="C39" s="236"/>
      <c r="D39" s="236"/>
      <c r="H39" s="134"/>
      <c r="I39" s="134"/>
      <c r="K39" s="70"/>
    </row>
    <row r="40" spans="2:12">
      <c r="B40" s="236"/>
      <c r="C40" s="236"/>
      <c r="D40" s="236"/>
      <c r="H40" s="134"/>
      <c r="I40" s="134"/>
      <c r="J40" s="69"/>
      <c r="K40" s="70"/>
    </row>
    <row r="41" spans="2:12">
      <c r="H41" s="134"/>
      <c r="I41" s="142"/>
      <c r="J41" s="71"/>
      <c r="K41" s="70"/>
    </row>
    <row r="42" spans="2:12">
      <c r="H42" s="134"/>
      <c r="I42" s="160"/>
      <c r="J42" s="71"/>
    </row>
    <row r="43" spans="2:12">
      <c r="H43" s="134"/>
      <c r="I43" s="141"/>
      <c r="J43" s="71"/>
    </row>
    <row r="44" spans="2:12">
      <c r="H44" s="141"/>
      <c r="J44" s="71"/>
    </row>
    <row r="45" spans="2:12">
      <c r="I45" s="70"/>
    </row>
    <row r="46" spans="2:12">
      <c r="H46" s="70"/>
      <c r="I46" s="70"/>
    </row>
    <row r="47" spans="2:12">
      <c r="H47" s="70"/>
      <c r="I47" s="70"/>
    </row>
    <row r="48" spans="2:12">
      <c r="H48" s="70"/>
      <c r="I48" s="70"/>
    </row>
    <row r="49" spans="2:11">
      <c r="H49" s="70"/>
      <c r="I49" s="70"/>
    </row>
    <row r="50" spans="2:11">
      <c r="B50" s="136"/>
      <c r="H50" s="70"/>
    </row>
    <row r="51" spans="2:11">
      <c r="B51" s="136"/>
    </row>
    <row r="52" spans="2:11">
      <c r="B52" s="136"/>
    </row>
    <row r="53" spans="2:11">
      <c r="B53" s="136"/>
    </row>
    <row r="54" spans="2:11" s="56" customFormat="1">
      <c r="B54" s="55"/>
      <c r="C54" s="55"/>
      <c r="D54" s="55"/>
      <c r="E54" s="55"/>
      <c r="F54" s="55"/>
      <c r="G54" s="55"/>
      <c r="H54" s="55"/>
      <c r="I54" s="55"/>
      <c r="J54" s="55"/>
      <c r="K54" s="55"/>
    </row>
    <row r="55" spans="2:11" s="56" customFormat="1">
      <c r="B55" s="55"/>
      <c r="D55" s="55"/>
      <c r="E55" s="55"/>
      <c r="F55" s="55"/>
      <c r="G55" s="55"/>
      <c r="H55" s="55"/>
      <c r="I55" s="55"/>
      <c r="J55" s="55"/>
      <c r="K55" s="55"/>
    </row>
    <row r="56" spans="2:11">
      <c r="C56" s="56"/>
      <c r="D56" s="56"/>
    </row>
    <row r="57" spans="2:11">
      <c r="D57" s="56"/>
    </row>
    <row r="58" spans="2:11">
      <c r="I58" s="56"/>
    </row>
    <row r="59" spans="2:11">
      <c r="H59" s="56"/>
      <c r="I59" s="56"/>
    </row>
    <row r="60" spans="2:11">
      <c r="H60" s="56"/>
      <c r="K60" s="56"/>
    </row>
    <row r="61" spans="2:11">
      <c r="K61" s="56"/>
    </row>
    <row r="63" spans="2:11">
      <c r="J63" s="56"/>
    </row>
    <row r="64" spans="2:11">
      <c r="J64" s="56"/>
    </row>
  </sheetData>
  <mergeCells count="15">
    <mergeCell ref="B1:C1"/>
    <mergeCell ref="B2:C2"/>
    <mergeCell ref="E6:F6"/>
    <mergeCell ref="E7:F7"/>
    <mergeCell ref="E8:F8"/>
    <mergeCell ref="E1:G1"/>
    <mergeCell ref="B23:C24"/>
    <mergeCell ref="B22:C22"/>
    <mergeCell ref="E9:F9"/>
    <mergeCell ref="F2:G2"/>
    <mergeCell ref="E3:F3"/>
    <mergeCell ref="E4:F4"/>
    <mergeCell ref="E5:F5"/>
    <mergeCell ref="B14:C14"/>
    <mergeCell ref="E10:F10"/>
  </mergeCells>
  <dataValidations count="4">
    <dataValidation type="list" allowBlank="1" showInputMessage="1" showErrorMessage="1" promptTitle="Percent Truck" prompt="Please Select the Low, Medium, or High Truck Percentage" sqref="C5" xr:uid="{00000000-0002-0000-0000-000000000000}">
      <formula1>$J$15:$J$17</formula1>
    </dataValidation>
    <dataValidation allowBlank="1" showInputMessage="1" showErrorMessage="1" promptTitle="Percent Truck" prompt="Please Select the Low, Medium, or High Truck Percentage" sqref="C6" xr:uid="{00000000-0002-0000-0000-000001000000}"/>
    <dataValidation type="list" allowBlank="1" showInputMessage="1" showErrorMessage="1" promptTitle="Project Type" prompt="Please Select a Project Type to Compare to the Base Case (2U)." sqref="C3" xr:uid="{00000000-0002-0000-0000-000002000000}">
      <formula1>$C$15:$C$20</formula1>
    </dataValidation>
    <dataValidation type="list" allowBlank="1" showInputMessage="1" showErrorMessage="1" promptTitle="ADT" prompt="Please Select the ADT" sqref="C4" xr:uid="{00000000-0002-0000-0000-000003000000}">
      <formula1>$J$4:$J$12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8"/>
  <sheetViews>
    <sheetView topLeftCell="A52" workbookViewId="0">
      <selection activeCell="B62" sqref="B62"/>
    </sheetView>
  </sheetViews>
  <sheetFormatPr defaultColWidth="8.77734375" defaultRowHeight="13.2"/>
  <cols>
    <col min="1" max="1" width="12.77734375" style="231" customWidth="1"/>
    <col min="2" max="2" width="29.77734375" style="231" customWidth="1"/>
    <col min="3" max="16384" width="8.77734375" style="231"/>
  </cols>
  <sheetData>
    <row r="1" spans="1:2" ht="28.5" customHeight="1">
      <c r="A1" s="229" t="s">
        <v>245</v>
      </c>
      <c r="B1" s="230" t="s">
        <v>246</v>
      </c>
    </row>
    <row r="2" spans="1:2" ht="14.25" customHeight="1">
      <c r="A2" s="232" t="s">
        <v>247</v>
      </c>
      <c r="B2" s="233">
        <v>106.08</v>
      </c>
    </row>
    <row r="3" spans="1:2" ht="14.25" customHeight="1">
      <c r="A3" s="232" t="s">
        <v>248</v>
      </c>
      <c r="B3" s="233">
        <v>105</v>
      </c>
    </row>
    <row r="4" spans="1:2" ht="14.25" customHeight="1">
      <c r="A4" s="232" t="s">
        <v>249</v>
      </c>
      <c r="B4" s="233">
        <v>104.37</v>
      </c>
    </row>
    <row r="5" spans="1:2" ht="14.25" customHeight="1">
      <c r="A5" s="232" t="s">
        <v>250</v>
      </c>
      <c r="B5" s="233">
        <v>104.71</v>
      </c>
    </row>
    <row r="6" spans="1:2" ht="14.25" customHeight="1">
      <c r="A6" s="232" t="s">
        <v>251</v>
      </c>
      <c r="B6" s="233">
        <v>106.53</v>
      </c>
    </row>
    <row r="7" spans="1:2" ht="14.25" customHeight="1">
      <c r="A7" s="232" t="s">
        <v>252</v>
      </c>
      <c r="B7" s="233">
        <v>107.47</v>
      </c>
    </row>
    <row r="8" spans="1:2" ht="14.25" customHeight="1">
      <c r="A8" s="232" t="s">
        <v>253</v>
      </c>
      <c r="B8" s="233">
        <v>108.29</v>
      </c>
    </row>
    <row r="9" spans="1:2" ht="14.25" customHeight="1">
      <c r="A9" s="232" t="s">
        <v>254</v>
      </c>
      <c r="B9" s="233">
        <v>108.05</v>
      </c>
    </row>
    <row r="10" spans="1:2" ht="14.25" customHeight="1">
      <c r="A10" s="232" t="s">
        <v>255</v>
      </c>
      <c r="B10" s="233">
        <v>107.74</v>
      </c>
    </row>
    <row r="11" spans="1:2" ht="14.25" customHeight="1">
      <c r="A11" s="232" t="s">
        <v>256</v>
      </c>
      <c r="B11" s="233">
        <v>108.11</v>
      </c>
    </row>
    <row r="12" spans="1:2" ht="14.25" customHeight="1">
      <c r="A12" s="232" t="s">
        <v>257</v>
      </c>
      <c r="B12" s="233">
        <v>108.44</v>
      </c>
    </row>
    <row r="13" spans="1:2" ht="14.25" customHeight="1">
      <c r="A13" s="232" t="s">
        <v>258</v>
      </c>
      <c r="B13" s="233">
        <v>109.9</v>
      </c>
    </row>
    <row r="14" spans="1:2" ht="14.25" customHeight="1">
      <c r="A14" s="232" t="s">
        <v>259</v>
      </c>
      <c r="B14" s="233">
        <v>111.85</v>
      </c>
    </row>
    <row r="15" spans="1:2" ht="14.25" customHeight="1">
      <c r="A15" s="232" t="s">
        <v>260</v>
      </c>
      <c r="B15" s="233">
        <v>114.67</v>
      </c>
    </row>
    <row r="16" spans="1:2" ht="14.25" customHeight="1">
      <c r="A16" s="232" t="s">
        <v>261</v>
      </c>
      <c r="B16" s="233">
        <v>115.42</v>
      </c>
    </row>
    <row r="17" spans="1:2" ht="14.25" customHeight="1">
      <c r="A17" s="232" t="s">
        <v>262</v>
      </c>
      <c r="B17" s="233">
        <v>115.82</v>
      </c>
    </row>
    <row r="18" spans="1:2" ht="14.25" customHeight="1">
      <c r="A18" s="232" t="s">
        <v>263</v>
      </c>
      <c r="B18" s="233">
        <v>116.19</v>
      </c>
    </row>
    <row r="19" spans="1:2" ht="14.25" customHeight="1">
      <c r="A19" s="232" t="s">
        <v>264</v>
      </c>
      <c r="B19" s="233">
        <v>115.9</v>
      </c>
    </row>
    <row r="20" spans="1:2" ht="14.25" customHeight="1">
      <c r="A20" s="232" t="s">
        <v>265</v>
      </c>
      <c r="B20" s="233">
        <v>115.67</v>
      </c>
    </row>
    <row r="21" spans="1:2" ht="14.25" customHeight="1">
      <c r="A21" s="232" t="s">
        <v>266</v>
      </c>
      <c r="B21" s="233">
        <v>117.15</v>
      </c>
    </row>
    <row r="22" spans="1:2" ht="14.25" customHeight="1">
      <c r="A22" s="232" t="s">
        <v>267</v>
      </c>
      <c r="B22" s="233">
        <v>120.19</v>
      </c>
    </row>
    <row r="23" spans="1:2" ht="14.25" customHeight="1">
      <c r="A23" s="232" t="s">
        <v>268</v>
      </c>
      <c r="B23" s="233">
        <v>121.21</v>
      </c>
    </row>
    <row r="24" spans="1:2" ht="14.25" customHeight="1">
      <c r="A24" s="232" t="s">
        <v>269</v>
      </c>
      <c r="B24" s="233">
        <v>121.18</v>
      </c>
    </row>
    <row r="25" spans="1:2" ht="14.25" customHeight="1">
      <c r="A25" s="232" t="s">
        <v>270</v>
      </c>
      <c r="B25" s="233">
        <v>119.85</v>
      </c>
    </row>
    <row r="26" spans="1:2" ht="14.25" customHeight="1">
      <c r="A26" s="232" t="s">
        <v>271</v>
      </c>
      <c r="B26" s="233">
        <v>119.9</v>
      </c>
    </row>
    <row r="27" spans="1:2" ht="14.25" customHeight="1">
      <c r="A27" s="232" t="s">
        <v>272</v>
      </c>
      <c r="B27" s="233">
        <v>119.61</v>
      </c>
    </row>
    <row r="28" spans="1:2" ht="14.25" customHeight="1">
      <c r="A28" s="232" t="s">
        <v>273</v>
      </c>
      <c r="B28" s="233">
        <v>120.13</v>
      </c>
    </row>
    <row r="29" spans="1:2" ht="14.25" customHeight="1">
      <c r="A29" s="232" t="s">
        <v>274</v>
      </c>
      <c r="B29" s="233">
        <v>120.08</v>
      </c>
    </row>
    <row r="30" spans="1:2" ht="14.25" customHeight="1">
      <c r="A30" s="232" t="s">
        <v>275</v>
      </c>
      <c r="B30" s="233">
        <v>120.65</v>
      </c>
    </row>
    <row r="31" spans="1:2" ht="14.25" customHeight="1">
      <c r="A31" s="232" t="s">
        <v>276</v>
      </c>
      <c r="B31" s="233">
        <v>120.84</v>
      </c>
    </row>
    <row r="32" spans="1:2" ht="14.25" customHeight="1">
      <c r="A32" s="232" t="s">
        <v>277</v>
      </c>
      <c r="B32" s="233">
        <v>120.16</v>
      </c>
    </row>
    <row r="33" spans="1:2" ht="14.25" customHeight="1">
      <c r="A33" s="232" t="s">
        <v>278</v>
      </c>
      <c r="B33" s="233">
        <v>119.97</v>
      </c>
    </row>
    <row r="34" spans="1:2" ht="14.25" customHeight="1">
      <c r="A34" s="232" t="s">
        <v>279</v>
      </c>
      <c r="B34" s="233">
        <v>117.87</v>
      </c>
    </row>
    <row r="35" spans="1:2" ht="14.25" customHeight="1">
      <c r="A35" s="232" t="s">
        <v>280</v>
      </c>
      <c r="B35" s="233">
        <v>116.23</v>
      </c>
    </row>
    <row r="36" spans="1:2" ht="14.25" customHeight="1">
      <c r="A36" s="232" t="s">
        <v>281</v>
      </c>
      <c r="B36" s="233">
        <v>115.41</v>
      </c>
    </row>
    <row r="37" spans="1:2" ht="14.25" customHeight="1">
      <c r="A37" s="232" t="s">
        <v>282</v>
      </c>
      <c r="B37" s="233">
        <v>115.1</v>
      </c>
    </row>
    <row r="38" spans="1:2" ht="14.25" customHeight="1">
      <c r="A38" s="232" t="s">
        <v>283</v>
      </c>
      <c r="B38" s="233">
        <v>112.31</v>
      </c>
    </row>
    <row r="39" spans="1:2" ht="14.25" customHeight="1">
      <c r="A39" s="232" t="s">
        <v>284</v>
      </c>
      <c r="B39" s="233">
        <v>109.71</v>
      </c>
    </row>
    <row r="40" spans="1:2" ht="14.25" customHeight="1">
      <c r="A40" s="232" t="s">
        <v>285</v>
      </c>
      <c r="B40" s="233">
        <v>108.9</v>
      </c>
    </row>
    <row r="41" spans="1:2" ht="14.25" customHeight="1">
      <c r="A41" s="232" t="s">
        <v>286</v>
      </c>
      <c r="B41" s="233">
        <v>108.4</v>
      </c>
    </row>
    <row r="42" spans="1:2" ht="14.25" customHeight="1">
      <c r="A42" s="232" t="s">
        <v>287</v>
      </c>
      <c r="B42" s="233">
        <v>107.46</v>
      </c>
    </row>
    <row r="43" spans="1:2" ht="14.25" customHeight="1">
      <c r="A43" s="232" t="s">
        <v>288</v>
      </c>
      <c r="B43" s="233">
        <v>108.08</v>
      </c>
    </row>
    <row r="44" spans="1:2" ht="14.25" customHeight="1">
      <c r="A44" s="232" t="s">
        <v>289</v>
      </c>
      <c r="B44" s="233">
        <v>108.37</v>
      </c>
    </row>
    <row r="45" spans="1:2" ht="14.25" customHeight="1">
      <c r="A45" s="232" t="s">
        <v>290</v>
      </c>
      <c r="B45" s="233">
        <v>107.65</v>
      </c>
    </row>
    <row r="46" spans="1:2" ht="14.25" customHeight="1">
      <c r="A46" s="232" t="s">
        <v>291</v>
      </c>
      <c r="B46" s="233">
        <v>109.32</v>
      </c>
    </row>
    <row r="47" spans="1:2" ht="14.25" customHeight="1">
      <c r="A47" s="232" t="s">
        <v>292</v>
      </c>
      <c r="B47" s="233">
        <v>109.81</v>
      </c>
    </row>
    <row r="48" spans="1:2" ht="14.25" customHeight="1">
      <c r="A48" s="232" t="s">
        <v>293</v>
      </c>
      <c r="B48" s="233">
        <v>110.07</v>
      </c>
    </row>
    <row r="49" spans="1:2" ht="14.25" customHeight="1">
      <c r="A49" s="232" t="s">
        <v>294</v>
      </c>
      <c r="B49" s="233">
        <v>110.3</v>
      </c>
    </row>
    <row r="50" spans="1:2" ht="14.25" customHeight="1">
      <c r="A50" s="232" t="s">
        <v>295</v>
      </c>
      <c r="B50" s="233">
        <v>110.47</v>
      </c>
    </row>
    <row r="51" spans="1:2" ht="14.25" customHeight="1">
      <c r="A51" s="232" t="s">
        <v>296</v>
      </c>
      <c r="B51" s="233">
        <v>112.18</v>
      </c>
    </row>
    <row r="52" spans="1:2" ht="14.25" customHeight="1">
      <c r="A52" s="232" t="s">
        <v>297</v>
      </c>
      <c r="B52" s="233">
        <v>111.46</v>
      </c>
    </row>
    <row r="53" spans="1:2" ht="14.25" customHeight="1">
      <c r="A53" s="232" t="s">
        <v>298</v>
      </c>
      <c r="B53" s="233">
        <v>111.66</v>
      </c>
    </row>
    <row r="54" spans="1:2" ht="14.25" customHeight="1">
      <c r="A54" s="232" t="s">
        <v>299</v>
      </c>
      <c r="B54" s="233">
        <v>111.89</v>
      </c>
    </row>
    <row r="55" spans="1:2" ht="14.25" customHeight="1">
      <c r="A55" s="232" t="s">
        <v>300</v>
      </c>
      <c r="B55" s="233">
        <v>111.5</v>
      </c>
    </row>
    <row r="56" spans="1:2" ht="14.25" customHeight="1">
      <c r="A56" s="232" t="s">
        <v>301</v>
      </c>
      <c r="B56" s="233">
        <v>112.01</v>
      </c>
    </row>
    <row r="57" spans="1:2" ht="14.25" customHeight="1">
      <c r="A57" s="232" t="s">
        <v>302</v>
      </c>
      <c r="B57" s="233">
        <v>113.23</v>
      </c>
    </row>
    <row r="58" spans="1:2" ht="14.25" customHeight="1">
      <c r="A58" s="232" t="s">
        <v>303</v>
      </c>
      <c r="B58" s="233">
        <v>112.83</v>
      </c>
    </row>
    <row r="59" spans="1:2" ht="14.25" customHeight="1">
      <c r="A59" s="232" t="s">
        <v>304</v>
      </c>
      <c r="B59" s="233">
        <v>113.31</v>
      </c>
    </row>
    <row r="60" spans="1:2" ht="14.25" customHeight="1">
      <c r="A60" s="232" t="s">
        <v>305</v>
      </c>
      <c r="B60" s="233">
        <v>113.67</v>
      </c>
    </row>
    <row r="61" spans="1:2" ht="14.25" customHeight="1">
      <c r="A61" s="232" t="s">
        <v>306</v>
      </c>
      <c r="B61" s="233">
        <v>114.73</v>
      </c>
    </row>
    <row r="62" spans="1:2" ht="14.25" customHeight="1">
      <c r="A62" s="232" t="s">
        <v>307</v>
      </c>
      <c r="B62" s="233">
        <v>116.2</v>
      </c>
    </row>
    <row r="63" spans="1:2" ht="14.25" customHeight="1">
      <c r="A63" s="232" t="s">
        <v>308</v>
      </c>
      <c r="B63" s="233">
        <v>116.85</v>
      </c>
    </row>
    <row r="64" spans="1:2" ht="14.25" customHeight="1">
      <c r="A64" s="232" t="s">
        <v>309</v>
      </c>
      <c r="B64" s="233">
        <v>117.96</v>
      </c>
    </row>
    <row r="65" spans="1:2" ht="14.25" customHeight="1">
      <c r="A65" s="232" t="s">
        <v>310</v>
      </c>
      <c r="B65" s="233">
        <v>118.65</v>
      </c>
    </row>
    <row r="66" spans="1:2" ht="14.25" customHeight="1">
      <c r="A66" s="232" t="s">
        <v>311</v>
      </c>
      <c r="B66" s="233">
        <v>119.08</v>
      </c>
    </row>
    <row r="67" spans="1:2" ht="14.25" customHeight="1">
      <c r="A67" s="232" t="s">
        <v>312</v>
      </c>
      <c r="B67" s="233">
        <v>120.53</v>
      </c>
    </row>
    <row r="68" spans="1:2" ht="14.25" customHeight="1">
      <c r="A68" s="232" t="s">
        <v>313</v>
      </c>
      <c r="B68" s="233">
        <v>121.21</v>
      </c>
    </row>
    <row r="69" spans="1:2" ht="14.25" customHeight="1">
      <c r="A69" s="232" t="s">
        <v>314</v>
      </c>
      <c r="B69" s="233">
        <v>122.21</v>
      </c>
    </row>
    <row r="70" spans="1:2" ht="14.25" customHeight="1">
      <c r="A70" s="232" t="s">
        <v>315</v>
      </c>
      <c r="B70" s="233">
        <v>122.79</v>
      </c>
    </row>
    <row r="71" spans="1:2" ht="14.25" customHeight="1">
      <c r="A71" s="232" t="s">
        <v>316</v>
      </c>
      <c r="B71" s="233">
        <v>122.1</v>
      </c>
    </row>
    <row r="72" spans="1:2" ht="14.25" customHeight="1">
      <c r="A72" s="232" t="s">
        <v>317</v>
      </c>
      <c r="B72" s="233">
        <v>121.61</v>
      </c>
    </row>
    <row r="73" spans="1:2" ht="14.25" customHeight="1">
      <c r="A73" s="232" t="s">
        <v>318</v>
      </c>
      <c r="B73" s="233">
        <v>120.76</v>
      </c>
    </row>
    <row r="74" spans="1:2" ht="14.25" customHeight="1">
      <c r="A74" s="232" t="s">
        <v>319</v>
      </c>
      <c r="B74" s="233">
        <v>122.05</v>
      </c>
    </row>
    <row r="75" spans="1:2" ht="14.25" customHeight="1">
      <c r="A75" s="232" t="s">
        <v>320</v>
      </c>
      <c r="B75" s="233">
        <v>120.85</v>
      </c>
    </row>
    <row r="76" spans="1:2" ht="14.25" customHeight="1">
      <c r="A76" s="232" t="s">
        <v>321</v>
      </c>
      <c r="B76" s="233">
        <v>120.98</v>
      </c>
    </row>
    <row r="77" spans="1:2" ht="14.25" customHeight="1">
      <c r="A77" s="232" t="s">
        <v>322</v>
      </c>
      <c r="B77" s="233">
        <v>122.26</v>
      </c>
    </row>
    <row r="78" spans="1:2" ht="14.25" customHeight="1">
      <c r="A78" s="232" t="s">
        <v>323</v>
      </c>
      <c r="B78" s="233">
        <v>122.3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1"/>
  <sheetViews>
    <sheetView zoomScale="85" zoomScaleNormal="85" workbookViewId="0">
      <pane ySplit="2" topLeftCell="A3" activePane="bottomLeft" state="frozen"/>
      <selection pane="bottomLeft" activeCell="A18" sqref="A18"/>
    </sheetView>
  </sheetViews>
  <sheetFormatPr defaultColWidth="8.77734375" defaultRowHeight="14.4"/>
  <cols>
    <col min="1" max="1" width="7.21875" style="8" bestFit="1" customWidth="1"/>
    <col min="2" max="4" width="14.109375" style="85" bestFit="1" customWidth="1"/>
    <col min="5" max="5" width="12.77734375" style="85" bestFit="1" customWidth="1"/>
    <col min="6" max="6" width="7" style="85" customWidth="1"/>
    <col min="7" max="8" width="14.44140625" style="9" bestFit="1" customWidth="1"/>
    <col min="9" max="10" width="12.77734375" style="8" bestFit="1" customWidth="1"/>
    <col min="11" max="12" width="14.44140625" style="8" bestFit="1" customWidth="1"/>
    <col min="13" max="18" width="12.77734375" style="8" bestFit="1" customWidth="1"/>
    <col min="19" max="19" width="12.33203125" style="8" bestFit="1" customWidth="1"/>
    <col min="20" max="22" width="11.21875" style="8" bestFit="1" customWidth="1"/>
    <col min="23" max="23" width="7.21875" style="8" customWidth="1"/>
    <col min="24" max="24" width="6.88671875" style="8" bestFit="1" customWidth="1"/>
    <col min="25" max="25" width="22" style="8" bestFit="1" customWidth="1"/>
    <col min="26" max="26" width="24.21875" style="8" bestFit="1" customWidth="1"/>
    <col min="27" max="27" width="22.109375" style="8" bestFit="1" customWidth="1"/>
    <col min="28" max="28" width="24.33203125" style="8" bestFit="1" customWidth="1"/>
    <col min="29" max="29" width="22.109375" style="8" bestFit="1" customWidth="1"/>
    <col min="30" max="30" width="24.33203125" style="8" bestFit="1" customWidth="1"/>
    <col min="31" max="31" width="22.109375" style="8" bestFit="1" customWidth="1"/>
    <col min="32" max="32" width="24.33203125" style="8" bestFit="1" customWidth="1"/>
    <col min="33" max="16384" width="8.77734375" style="8"/>
  </cols>
  <sheetData>
    <row r="1" spans="1:32" ht="24" customHeight="1">
      <c r="B1" s="428" t="s">
        <v>54</v>
      </c>
      <c r="C1" s="429"/>
      <c r="D1" s="430"/>
      <c r="E1" s="170"/>
      <c r="F1" s="143"/>
      <c r="G1" s="435"/>
      <c r="H1" s="435"/>
      <c r="I1" s="435"/>
      <c r="J1" s="435"/>
      <c r="K1" s="435"/>
      <c r="L1" s="435"/>
      <c r="M1" s="435"/>
      <c r="N1" s="435"/>
      <c r="O1" s="435"/>
      <c r="P1" s="435"/>
      <c r="Q1" s="435"/>
      <c r="R1" s="435"/>
      <c r="S1" s="435"/>
      <c r="T1" s="435"/>
      <c r="U1" s="436"/>
      <c r="V1" s="163"/>
      <c r="W1" s="148"/>
      <c r="X1" s="437" t="s">
        <v>59</v>
      </c>
      <c r="Y1" s="438"/>
      <c r="Z1" s="438"/>
      <c r="AA1" s="438"/>
      <c r="AB1" s="438"/>
      <c r="AC1" s="438"/>
      <c r="AD1" s="438"/>
      <c r="AE1" s="438"/>
      <c r="AF1" s="438"/>
    </row>
    <row r="2" spans="1:32" ht="30" customHeight="1">
      <c r="A2" s="28"/>
      <c r="B2" s="433" t="s">
        <v>74</v>
      </c>
      <c r="C2" s="434"/>
      <c r="D2" s="434"/>
      <c r="E2" s="434"/>
      <c r="F2" s="143"/>
      <c r="G2" s="439" t="s">
        <v>28</v>
      </c>
      <c r="H2" s="440"/>
      <c r="I2" s="440"/>
      <c r="J2" s="441"/>
      <c r="K2" s="439" t="s">
        <v>72</v>
      </c>
      <c r="L2" s="440"/>
      <c r="M2" s="440"/>
      <c r="N2" s="441"/>
      <c r="O2" s="439" t="s">
        <v>50</v>
      </c>
      <c r="P2" s="440"/>
      <c r="Q2" s="440"/>
      <c r="R2" s="441"/>
      <c r="S2" s="433" t="s">
        <v>51</v>
      </c>
      <c r="T2" s="434"/>
      <c r="U2" s="434"/>
      <c r="V2" s="442"/>
      <c r="W2" s="148"/>
      <c r="X2" s="150"/>
      <c r="Y2" s="431" t="s">
        <v>60</v>
      </c>
      <c r="Z2" s="432"/>
      <c r="AA2" s="431" t="s">
        <v>90</v>
      </c>
      <c r="AB2" s="432"/>
      <c r="AC2" s="431" t="s">
        <v>86</v>
      </c>
      <c r="AD2" s="432"/>
      <c r="AE2" s="431" t="s">
        <v>62</v>
      </c>
      <c r="AF2" s="432"/>
    </row>
    <row r="3" spans="1:32" ht="28.8">
      <c r="A3" s="152" t="s">
        <v>53</v>
      </c>
      <c r="B3" s="153" t="s">
        <v>17</v>
      </c>
      <c r="C3" s="166" t="s">
        <v>89</v>
      </c>
      <c r="D3" s="154" t="s">
        <v>85</v>
      </c>
      <c r="E3" s="165" t="s">
        <v>49</v>
      </c>
      <c r="F3" s="144"/>
      <c r="G3" s="153" t="s">
        <v>17</v>
      </c>
      <c r="H3" s="166" t="s">
        <v>89</v>
      </c>
      <c r="I3" s="154" t="s">
        <v>85</v>
      </c>
      <c r="J3" s="165" t="s">
        <v>49</v>
      </c>
      <c r="K3" s="155" t="s">
        <v>17</v>
      </c>
      <c r="L3" s="166" t="s">
        <v>89</v>
      </c>
      <c r="M3" s="154" t="s">
        <v>85</v>
      </c>
      <c r="N3" s="165" t="s">
        <v>49</v>
      </c>
      <c r="O3" s="155" t="s">
        <v>17</v>
      </c>
      <c r="P3" s="166" t="s">
        <v>89</v>
      </c>
      <c r="Q3" s="154" t="s">
        <v>85</v>
      </c>
      <c r="R3" s="167" t="s">
        <v>49</v>
      </c>
      <c r="S3" s="155" t="s">
        <v>17</v>
      </c>
      <c r="T3" s="166" t="s">
        <v>89</v>
      </c>
      <c r="U3" s="154" t="s">
        <v>85</v>
      </c>
      <c r="V3" s="165" t="s">
        <v>49</v>
      </c>
      <c r="W3" s="176"/>
      <c r="X3" s="151" t="s">
        <v>53</v>
      </c>
      <c r="Y3" s="101" t="s">
        <v>52</v>
      </c>
      <c r="Z3" s="108" t="s">
        <v>56</v>
      </c>
      <c r="AA3" s="101" t="s">
        <v>91</v>
      </c>
      <c r="AB3" s="307" t="s">
        <v>92</v>
      </c>
      <c r="AC3" s="101" t="s">
        <v>87</v>
      </c>
      <c r="AD3" s="307" t="s">
        <v>88</v>
      </c>
      <c r="AE3" s="101" t="s">
        <v>64</v>
      </c>
      <c r="AF3" s="307" t="s">
        <v>63</v>
      </c>
    </row>
    <row r="4" spans="1:32">
      <c r="A4" s="28">
        <f>Discounting!A7</f>
        <v>2021</v>
      </c>
      <c r="B4" s="139">
        <f>Discounting!D7*1000000</f>
        <v>20272804.706143156</v>
      </c>
      <c r="C4" s="168">
        <f>B4*Discounting!H7</f>
        <v>19682334.666158404</v>
      </c>
      <c r="D4" s="168">
        <f>B4*Discounting!I7</f>
        <v>19307433.053469673</v>
      </c>
      <c r="E4" s="171">
        <f>B4*Discounting!J7</f>
        <v>18946546.454339396</v>
      </c>
      <c r="F4" s="145"/>
      <c r="G4" s="92"/>
      <c r="H4" s="28"/>
      <c r="I4" s="80"/>
      <c r="J4" s="164"/>
      <c r="K4" s="98"/>
      <c r="L4" s="29"/>
      <c r="M4" s="80"/>
      <c r="N4" s="93"/>
      <c r="O4" s="98"/>
      <c r="P4" s="29"/>
      <c r="Q4" s="80"/>
      <c r="R4" s="93"/>
      <c r="S4" s="98"/>
      <c r="T4" s="29"/>
      <c r="U4" s="80"/>
      <c r="V4" s="164"/>
      <c r="W4" s="148"/>
      <c r="X4" s="92">
        <f>A4</f>
        <v>2021</v>
      </c>
      <c r="Y4" s="140">
        <f>B4</f>
        <v>20272804.706143156</v>
      </c>
      <c r="Z4" s="72">
        <f>G4+K4+O4+S4</f>
        <v>0</v>
      </c>
      <c r="AA4" s="140">
        <f t="shared" ref="AA4:AA25" si="0">C4</f>
        <v>19682334.666158404</v>
      </c>
      <c r="AB4" s="102">
        <f>H4+L4+P4+T4</f>
        <v>0</v>
      </c>
      <c r="AC4" s="140">
        <f t="shared" ref="AC4:AC25" si="1">D4</f>
        <v>19307433.053469673</v>
      </c>
      <c r="AD4" s="102">
        <f>I4+M4+Q4+U4</f>
        <v>0</v>
      </c>
      <c r="AE4" s="140">
        <f t="shared" ref="AE4:AE25" si="2">E4</f>
        <v>18946546.454339396</v>
      </c>
      <c r="AF4" s="102">
        <f>N4+R4+V4+J4</f>
        <v>0</v>
      </c>
    </row>
    <row r="5" spans="1:32">
      <c r="A5" s="28">
        <f>A4+1</f>
        <v>2022</v>
      </c>
      <c r="B5" s="139">
        <f>Discounting!D8*1000000</f>
        <v>20272804.706143156</v>
      </c>
      <c r="C5" s="168">
        <f>B5*Discounting!H8</f>
        <v>19109062.78267806</v>
      </c>
      <c r="D5" s="168">
        <f>B5*Discounting!I8</f>
        <v>18388031.479494926</v>
      </c>
      <c r="E5" s="138">
        <f>B5*Discounting!J8</f>
        <v>17707052.761064857</v>
      </c>
      <c r="F5" s="145"/>
      <c r="G5" s="92"/>
      <c r="H5" s="28"/>
      <c r="I5" s="80"/>
      <c r="J5" s="93"/>
      <c r="K5" s="98"/>
      <c r="L5" s="29"/>
      <c r="M5" s="80"/>
      <c r="N5" s="93"/>
      <c r="O5" s="98"/>
      <c r="P5" s="29"/>
      <c r="Q5" s="80"/>
      <c r="R5" s="93"/>
      <c r="S5" s="98"/>
      <c r="T5" s="29"/>
      <c r="U5" s="80"/>
      <c r="V5" s="93"/>
      <c r="W5" s="148"/>
      <c r="X5" s="92">
        <f>X4+1</f>
        <v>2022</v>
      </c>
      <c r="Y5" s="140">
        <f t="shared" ref="Y5:Y25" si="3">B5</f>
        <v>20272804.706143156</v>
      </c>
      <c r="Z5" s="72">
        <f t="shared" ref="Z5:Z26" si="4">G5+K5+O5+S5</f>
        <v>0</v>
      </c>
      <c r="AA5" s="140">
        <f t="shared" si="0"/>
        <v>19109062.78267806</v>
      </c>
      <c r="AB5" s="102">
        <f t="shared" ref="AB5:AB25" si="5">H5+L5+P5+T5</f>
        <v>0</v>
      </c>
      <c r="AC5" s="140">
        <f t="shared" si="1"/>
        <v>18388031.479494926</v>
      </c>
      <c r="AD5" s="102">
        <f t="shared" ref="AD5:AD25" si="6">I5+M5+Q5+U5</f>
        <v>0</v>
      </c>
      <c r="AE5" s="140">
        <f t="shared" si="2"/>
        <v>17707052.761064857</v>
      </c>
      <c r="AF5" s="102">
        <f t="shared" ref="AF5:AF25" si="7">N5+R5+V5+J5</f>
        <v>0</v>
      </c>
    </row>
    <row r="6" spans="1:32">
      <c r="A6" s="28">
        <f t="shared" ref="A6:A25" si="8">A5+1</f>
        <v>2023</v>
      </c>
      <c r="B6" s="139">
        <f>Discounting!D9*1000000</f>
        <v>0</v>
      </c>
      <c r="C6" s="168">
        <f>B6*Discounting!H9</f>
        <v>0</v>
      </c>
      <c r="D6" s="168">
        <f>B6*Discounting!I9</f>
        <v>0</v>
      </c>
      <c r="E6" s="138">
        <f>B6*Discounting!J9</f>
        <v>0</v>
      </c>
      <c r="F6" s="145"/>
      <c r="G6" s="94">
        <f>Benefits!D3+Benefits!E3</f>
        <v>10067473.783496417</v>
      </c>
      <c r="H6" s="32">
        <f>G6*Discounting!H13</f>
        <v>8185777.4740326935</v>
      </c>
      <c r="I6" s="32">
        <f>G6*Discounting!I13</f>
        <v>7154765.6595053598</v>
      </c>
      <c r="J6" s="32">
        <f>G6*Discounting!J13</f>
        <v>6269516.7001022818</v>
      </c>
      <c r="K6" s="94">
        <f>Benefits!F3+Benefits!G3</f>
        <v>11880960.910924736</v>
      </c>
      <c r="L6" s="32">
        <f>K6*Discounting!H13</f>
        <v>9660308.4632751029</v>
      </c>
      <c r="M6" s="32">
        <f>K6*Discounting!I13</f>
        <v>8443577.1033999715</v>
      </c>
      <c r="N6" s="32">
        <f>K6*Discounting!J13</f>
        <v>7398865.3406192958</v>
      </c>
      <c r="O6" s="94">
        <f>Safety!M4</f>
        <v>15493398.116292953</v>
      </c>
      <c r="P6" s="32">
        <f>O6*Discounting!H13</f>
        <v>12597550.490220908</v>
      </c>
      <c r="Q6" s="32">
        <f>O6*Discounting!I13</f>
        <v>11010868.781522594</v>
      </c>
      <c r="R6" s="32">
        <f>O6*Discounting!J13</f>
        <v>9648509.6778366473</v>
      </c>
      <c r="S6" s="94">
        <f>Benefits!H3</f>
        <v>90002.569521356985</v>
      </c>
      <c r="T6" s="32">
        <f>S6*Discounting!H13</f>
        <v>73180.325276905423</v>
      </c>
      <c r="U6" s="32">
        <f>S6*Discounting!I13</f>
        <v>63963.145822566716</v>
      </c>
      <c r="V6" s="95">
        <f>S6*Discounting!J13</f>
        <v>56049.07693837503</v>
      </c>
      <c r="W6" s="148"/>
      <c r="X6" s="92">
        <f t="shared" ref="X6:X25" si="9">X5+1</f>
        <v>2023</v>
      </c>
      <c r="Y6" s="140">
        <f t="shared" si="3"/>
        <v>0</v>
      </c>
      <c r="Z6" s="72">
        <f t="shared" si="4"/>
        <v>37531835.380235471</v>
      </c>
      <c r="AA6" s="140">
        <f t="shared" si="0"/>
        <v>0</v>
      </c>
      <c r="AB6" s="102">
        <f t="shared" si="5"/>
        <v>30516816.752805609</v>
      </c>
      <c r="AC6" s="140">
        <f t="shared" si="1"/>
        <v>0</v>
      </c>
      <c r="AD6" s="102">
        <f t="shared" si="6"/>
        <v>26673174.69025049</v>
      </c>
      <c r="AE6" s="140">
        <f t="shared" si="2"/>
        <v>0</v>
      </c>
      <c r="AF6" s="102">
        <f t="shared" si="7"/>
        <v>23372940.795496602</v>
      </c>
    </row>
    <row r="7" spans="1:32">
      <c r="A7" s="28">
        <f t="shared" si="8"/>
        <v>2024</v>
      </c>
      <c r="B7" s="139">
        <f>Discounting!D10*1000000</f>
        <v>0</v>
      </c>
      <c r="C7" s="168">
        <f>B7*Discounting!H10</f>
        <v>0</v>
      </c>
      <c r="D7" s="168">
        <f>B7*Discounting!I10</f>
        <v>0</v>
      </c>
      <c r="E7" s="138">
        <f>B7*Discounting!J10</f>
        <v>0</v>
      </c>
      <c r="F7" s="146"/>
      <c r="G7" s="94">
        <f>Benefits!D4+Benefits!E4</f>
        <v>10268823.259166345</v>
      </c>
      <c r="H7" s="32">
        <f>G7*Discounting!H14</f>
        <v>8106303.9063236387</v>
      </c>
      <c r="I7" s="32">
        <f>G7*Discounting!I14</f>
        <v>6950343.7835194934</v>
      </c>
      <c r="J7" s="32">
        <f>G7*Discounting!J14</f>
        <v>5976548.6300040437</v>
      </c>
      <c r="K7" s="94">
        <f>Benefits!F4+Benefits!G4</f>
        <v>12118580.129143231</v>
      </c>
      <c r="L7" s="32">
        <f>K7*Discounting!H14</f>
        <v>9566519.0607190337</v>
      </c>
      <c r="M7" s="32">
        <f>K7*Discounting!I14</f>
        <v>8202332.0433028303</v>
      </c>
      <c r="N7" s="32">
        <f>K7*Discounting!J14</f>
        <v>7053123.9695623191</v>
      </c>
      <c r="O7" s="94">
        <f>Safety!M5</f>
        <v>15803266.078618813</v>
      </c>
      <c r="P7" s="32">
        <f>O7*Discounting!H14</f>
        <v>12475244.17478187</v>
      </c>
      <c r="Q7" s="32">
        <f>O7*Discounting!I14</f>
        <v>10696272.530621951</v>
      </c>
      <c r="R7" s="32">
        <f>O7*Discounting!J14</f>
        <v>9197644.7396199815</v>
      </c>
      <c r="S7" s="94">
        <f>Benefits!H4</f>
        <v>91802.620911784121</v>
      </c>
      <c r="T7" s="32">
        <f>S7*Discounting!H14</f>
        <v>72469.836681984001</v>
      </c>
      <c r="U7" s="32">
        <f>S7*Discounting!I14</f>
        <v>62135.627370493385</v>
      </c>
      <c r="V7" s="95">
        <f>S7*Discounting!J14</f>
        <v>53429.961193591145</v>
      </c>
      <c r="W7" s="148"/>
      <c r="X7" s="92">
        <f t="shared" si="9"/>
        <v>2024</v>
      </c>
      <c r="Y7" s="140">
        <f t="shared" si="3"/>
        <v>0</v>
      </c>
      <c r="Z7" s="72">
        <f t="shared" si="4"/>
        <v>38282472.087840177</v>
      </c>
      <c r="AA7" s="140">
        <f t="shared" si="0"/>
        <v>0</v>
      </c>
      <c r="AB7" s="102">
        <f t="shared" si="5"/>
        <v>30220536.978506528</v>
      </c>
      <c r="AC7" s="140">
        <f t="shared" si="1"/>
        <v>0</v>
      </c>
      <c r="AD7" s="102">
        <f t="shared" si="6"/>
        <v>25911083.984814767</v>
      </c>
      <c r="AE7" s="140">
        <f t="shared" si="2"/>
        <v>0</v>
      </c>
      <c r="AF7" s="102">
        <f t="shared" si="7"/>
        <v>22280747.300379936</v>
      </c>
    </row>
    <row r="8" spans="1:32">
      <c r="A8" s="28">
        <f t="shared" si="8"/>
        <v>2025</v>
      </c>
      <c r="B8" s="139">
        <f>Discounting!D11*1000000</f>
        <v>0</v>
      </c>
      <c r="C8" s="168">
        <f>B8*Discounting!H11</f>
        <v>0</v>
      </c>
      <c r="D8" s="168">
        <f>B8*Discounting!I11</f>
        <v>0</v>
      </c>
      <c r="E8" s="138">
        <f>B8*Discounting!J11</f>
        <v>0</v>
      </c>
      <c r="F8" s="146"/>
      <c r="G8" s="94">
        <f>Benefits!D5+Benefits!E5</f>
        <v>10474199.724349674</v>
      </c>
      <c r="H8" s="32">
        <f>G8*Discounting!H15</f>
        <v>8027601.9266505949</v>
      </c>
      <c r="I8" s="32">
        <f>G8*Discounting!I15</f>
        <v>6751762.5325617939</v>
      </c>
      <c r="J8" s="32">
        <f>G8*Discounting!J15</f>
        <v>5697270.6566393701</v>
      </c>
      <c r="K8" s="94">
        <f>Benefits!F5+Benefits!G5</f>
        <v>12360951.731726095</v>
      </c>
      <c r="L8" s="32">
        <f>K8*Discounting!H15</f>
        <v>9473640.2348868102</v>
      </c>
      <c r="M8" s="32">
        <f>K8*Discounting!I15</f>
        <v>7967979.6992084626</v>
      </c>
      <c r="N8" s="32">
        <f>K8*Discounting!J15</f>
        <v>6723538.7373397807</v>
      </c>
      <c r="O8" s="94">
        <f>Safety!M6</f>
        <v>16119331.400191188</v>
      </c>
      <c r="P8" s="32">
        <f>O8*Discounting!H15</f>
        <v>12354125.299298551</v>
      </c>
      <c r="Q8" s="32">
        <f>O8*Discounting!I15</f>
        <v>10390664.74403275</v>
      </c>
      <c r="R8" s="32">
        <f>O8*Discounting!J15</f>
        <v>8767848.2564601693</v>
      </c>
      <c r="S8" s="94">
        <f>Benefits!H5</f>
        <v>93638.673330019839</v>
      </c>
      <c r="T8" s="32">
        <f>S8*Discounting!H15</f>
        <v>71766.246034586133</v>
      </c>
      <c r="U8" s="32">
        <f>S8*Discounting!I15</f>
        <v>60360.323731336444</v>
      </c>
      <c r="V8" s="95">
        <f>S8*Discounting!J15</f>
        <v>50933.234035012145</v>
      </c>
      <c r="W8" s="176"/>
      <c r="X8" s="92">
        <f t="shared" si="9"/>
        <v>2025</v>
      </c>
      <c r="Y8" s="140">
        <f t="shared" si="3"/>
        <v>0</v>
      </c>
      <c r="Z8" s="72">
        <f t="shared" si="4"/>
        <v>39048121.529596977</v>
      </c>
      <c r="AA8" s="140">
        <f t="shared" si="0"/>
        <v>0</v>
      </c>
      <c r="AB8" s="102">
        <f t="shared" si="5"/>
        <v>29927133.706870541</v>
      </c>
      <c r="AC8" s="140">
        <f t="shared" si="1"/>
        <v>0</v>
      </c>
      <c r="AD8" s="102">
        <f t="shared" si="6"/>
        <v>25170767.299534343</v>
      </c>
      <c r="AE8" s="140">
        <f t="shared" si="2"/>
        <v>0</v>
      </c>
      <c r="AF8" s="102">
        <f t="shared" si="7"/>
        <v>21239590.884474333</v>
      </c>
    </row>
    <row r="9" spans="1:32">
      <c r="A9" s="28">
        <f t="shared" si="8"/>
        <v>2026</v>
      </c>
      <c r="B9" s="139">
        <f>Discounting!D12*1000000</f>
        <v>0</v>
      </c>
      <c r="C9" s="168">
        <f>B9*Discounting!H12</f>
        <v>0</v>
      </c>
      <c r="D9" s="168">
        <f>B9*Discounting!I12</f>
        <v>0</v>
      </c>
      <c r="E9" s="138">
        <f>B9*Discounting!J12</f>
        <v>0</v>
      </c>
      <c r="F9" s="146"/>
      <c r="G9" s="94">
        <f>Benefits!D6+Benefits!E6</f>
        <v>10683683.718836665</v>
      </c>
      <c r="H9" s="32">
        <f>G9*Discounting!H16</f>
        <v>7949664.0438675778</v>
      </c>
      <c r="I9" s="32">
        <f>G9*Discounting!I16</f>
        <v>6558855.0316314558</v>
      </c>
      <c r="J9" s="32">
        <f>G9*Discounting!J16</f>
        <v>5431043.0558618279</v>
      </c>
      <c r="K9" s="94">
        <f>Benefits!F6+Benefits!G6</f>
        <v>12608170.766360618</v>
      </c>
      <c r="L9" s="32">
        <f>K9*Discounting!H16</f>
        <v>9381663.1452277154</v>
      </c>
      <c r="M9" s="32">
        <f>K9*Discounting!I16</f>
        <v>7740323.1363739362</v>
      </c>
      <c r="N9" s="32">
        <f>K9*Discounting!J16</f>
        <v>6409354.6841930626</v>
      </c>
      <c r="O9" s="94">
        <f>Safety!M7</f>
        <v>16441718.028195016</v>
      </c>
      <c r="P9" s="32">
        <f>O9*Discounting!H16</f>
        <v>12234182.335227694</v>
      </c>
      <c r="Q9" s="32">
        <f>O9*Discounting!I16</f>
        <v>10093788.60848896</v>
      </c>
      <c r="R9" s="32">
        <f>O9*Discounting!J16</f>
        <v>8358135.7211115649</v>
      </c>
      <c r="S9" s="94">
        <f>Benefits!H6</f>
        <v>95511.446796620236</v>
      </c>
      <c r="T9" s="32">
        <f>S9*Discounting!H16</f>
        <v>71069.486364347424</v>
      </c>
      <c r="U9" s="32">
        <f>S9*Discounting!I16</f>
        <v>58635.743053298262</v>
      </c>
      <c r="V9" s="95">
        <f>S9*Discounting!J16</f>
        <v>48553.176369824658</v>
      </c>
      <c r="W9" s="148"/>
      <c r="X9" s="92">
        <f t="shared" si="9"/>
        <v>2026</v>
      </c>
      <c r="Y9" s="140">
        <f t="shared" si="3"/>
        <v>0</v>
      </c>
      <c r="Z9" s="72">
        <f t="shared" si="4"/>
        <v>39829083.960188918</v>
      </c>
      <c r="AA9" s="140">
        <f t="shared" si="0"/>
        <v>0</v>
      </c>
      <c r="AB9" s="102">
        <f t="shared" si="5"/>
        <v>29636579.010687333</v>
      </c>
      <c r="AC9" s="140">
        <f t="shared" si="1"/>
        <v>0</v>
      </c>
      <c r="AD9" s="102">
        <f t="shared" si="6"/>
        <v>24451602.519547652</v>
      </c>
      <c r="AE9" s="140">
        <f t="shared" si="2"/>
        <v>0</v>
      </c>
      <c r="AF9" s="102">
        <f t="shared" si="7"/>
        <v>20247086.63753628</v>
      </c>
    </row>
    <row r="10" spans="1:32">
      <c r="A10" s="28">
        <f t="shared" si="8"/>
        <v>2027</v>
      </c>
      <c r="B10" s="139">
        <f>Discounting!D13*1000000</f>
        <v>0</v>
      </c>
      <c r="C10" s="168">
        <f>B10*Discounting!H13</f>
        <v>0</v>
      </c>
      <c r="D10" s="168">
        <f>B10*Discounting!I13</f>
        <v>0</v>
      </c>
      <c r="E10" s="138">
        <f>B10*Discounting!J13</f>
        <v>0</v>
      </c>
      <c r="F10" s="146"/>
      <c r="G10" s="94">
        <f>Benefits!D7+Benefits!E7</f>
        <v>10897357.393213399</v>
      </c>
      <c r="H10" s="32">
        <f>G10*Discounting!H17</f>
        <v>7872482.8395581841</v>
      </c>
      <c r="I10" s="32">
        <f>G10*Discounting!I17</f>
        <v>6371459.1735848431</v>
      </c>
      <c r="J10" s="32">
        <f>G10*Discounting!J17</f>
        <v>5177255.9971766956</v>
      </c>
      <c r="K10" s="94">
        <f>Benefits!F7+Benefits!G7</f>
        <v>12860334.181687832</v>
      </c>
      <c r="L10" s="32">
        <f>K10*Discounting!H17</f>
        <v>9290579.0370216221</v>
      </c>
      <c r="M10" s="32">
        <f>K10*Discounting!I17</f>
        <v>7519171.0467632525</v>
      </c>
      <c r="N10" s="32">
        <f>K10*Discounting!J17</f>
        <v>6109852.1288569383</v>
      </c>
      <c r="O10" s="94">
        <f>Safety!M8</f>
        <v>16770552.388758918</v>
      </c>
      <c r="P10" s="32">
        <f>O10*Discounting!H17</f>
        <v>12115403.865953641</v>
      </c>
      <c r="Q10" s="32">
        <f>O10*Discounting!I17</f>
        <v>9805394.6482464187</v>
      </c>
      <c r="R10" s="32">
        <f>O10*Discounting!J17</f>
        <v>7967568.6313399961</v>
      </c>
      <c r="S10" s="94">
        <f>Benefits!H7</f>
        <v>97421.675732552656</v>
      </c>
      <c r="T10" s="32">
        <f>S10*Discounting!H17</f>
        <v>70379.491351101358</v>
      </c>
      <c r="U10" s="32">
        <f>S10*Discounting!I17</f>
        <v>56960.436108918315</v>
      </c>
      <c r="V10" s="95">
        <f>S10*Discounting!J17</f>
        <v>46284.336352543134</v>
      </c>
      <c r="W10" s="148"/>
      <c r="X10" s="92">
        <f t="shared" si="9"/>
        <v>2027</v>
      </c>
      <c r="Y10" s="140">
        <f t="shared" si="3"/>
        <v>0</v>
      </c>
      <c r="Z10" s="72">
        <f t="shared" si="4"/>
        <v>40625665.639392704</v>
      </c>
      <c r="AA10" s="140">
        <f t="shared" si="0"/>
        <v>0</v>
      </c>
      <c r="AB10" s="102">
        <f t="shared" si="5"/>
        <v>29348845.233884547</v>
      </c>
      <c r="AC10" s="140">
        <f t="shared" si="1"/>
        <v>0</v>
      </c>
      <c r="AD10" s="102">
        <f t="shared" si="6"/>
        <v>23752985.304703429</v>
      </c>
      <c r="AE10" s="140">
        <f t="shared" si="2"/>
        <v>0</v>
      </c>
      <c r="AF10" s="102">
        <f t="shared" si="7"/>
        <v>19300961.093726173</v>
      </c>
    </row>
    <row r="11" spans="1:32">
      <c r="A11" s="28">
        <f t="shared" si="8"/>
        <v>2028</v>
      </c>
      <c r="B11" s="139">
        <f>Discounting!D14*1000000</f>
        <v>0</v>
      </c>
      <c r="C11" s="168">
        <f>B11*Discounting!H14</f>
        <v>0</v>
      </c>
      <c r="D11" s="168">
        <f>B11*Discounting!I14</f>
        <v>0</v>
      </c>
      <c r="E11" s="138">
        <f>B11*Discounting!J14</f>
        <v>0</v>
      </c>
      <c r="F11" s="146"/>
      <c r="G11" s="94">
        <f>Benefits!D8+Benefits!E8</f>
        <v>11115304.54107767</v>
      </c>
      <c r="H11" s="32">
        <f>G11*Discounting!H18</f>
        <v>7796050.9673294676</v>
      </c>
      <c r="I11" s="32">
        <f>G11*Discounting!I18</f>
        <v>6189417.4829109926</v>
      </c>
      <c r="J11" s="32">
        <f>G11*Discounting!J18</f>
        <v>4935328.1468413379</v>
      </c>
      <c r="K11" s="94">
        <f>Benefits!F8+Benefits!G8</f>
        <v>13117540.865321591</v>
      </c>
      <c r="L11" s="32">
        <f>K11*Discounting!H18</f>
        <v>9200379.2405456882</v>
      </c>
      <c r="M11" s="32">
        <f>K11*Discounting!I18</f>
        <v>7304337.5882843044</v>
      </c>
      <c r="N11" s="32">
        <f>K11*Discounting!J18</f>
        <v>5824345.0200318499</v>
      </c>
      <c r="O11" s="94">
        <f>Safety!M9</f>
        <v>17105963.436534092</v>
      </c>
      <c r="P11" s="32">
        <f>O11*Discounting!H18</f>
        <v>11997778.585701663</v>
      </c>
      <c r="Q11" s="32">
        <f>O11*Discounting!I18</f>
        <v>9525240.5154393762</v>
      </c>
      <c r="R11" s="32">
        <f>O11*Discounting!J18</f>
        <v>7595252.3401558828</v>
      </c>
      <c r="S11" s="94">
        <f>Benefits!H8</f>
        <v>99370.109247203713</v>
      </c>
      <c r="T11" s="32">
        <f>S11*Discounting!H18</f>
        <v>69696.195318566402</v>
      </c>
      <c r="U11" s="32">
        <f>S11*Discounting!I18</f>
        <v>55332.995077234948</v>
      </c>
      <c r="V11" s="95">
        <f>S11*Discounting!J18</f>
        <v>44121.516896816829</v>
      </c>
      <c r="W11" s="148"/>
      <c r="X11" s="92">
        <f t="shared" si="9"/>
        <v>2028</v>
      </c>
      <c r="Y11" s="140">
        <f t="shared" si="3"/>
        <v>0</v>
      </c>
      <c r="Z11" s="72">
        <f t="shared" si="4"/>
        <v>41438178.952180557</v>
      </c>
      <c r="AA11" s="140">
        <f t="shared" si="0"/>
        <v>0</v>
      </c>
      <c r="AB11" s="102">
        <f t="shared" si="5"/>
        <v>29063904.988895383</v>
      </c>
      <c r="AC11" s="140">
        <f t="shared" si="1"/>
        <v>0</v>
      </c>
      <c r="AD11" s="102">
        <f t="shared" si="6"/>
        <v>23074328.581711907</v>
      </c>
      <c r="AE11" s="140">
        <f t="shared" si="2"/>
        <v>0</v>
      </c>
      <c r="AF11" s="102">
        <f t="shared" si="7"/>
        <v>18399047.023925886</v>
      </c>
    </row>
    <row r="12" spans="1:32">
      <c r="A12" s="28">
        <f t="shared" si="8"/>
        <v>2029</v>
      </c>
      <c r="B12" s="139">
        <f>Discounting!D15*1000000</f>
        <v>0</v>
      </c>
      <c r="C12" s="168">
        <f>B12*Discounting!H15</f>
        <v>0</v>
      </c>
      <c r="D12" s="168">
        <f>B12*Discounting!I15</f>
        <v>0</v>
      </c>
      <c r="E12" s="138">
        <f>B12*Discounting!J15</f>
        <v>0</v>
      </c>
      <c r="F12" s="146"/>
      <c r="G12" s="94">
        <f>Benefits!D9+Benefits!E9</f>
        <v>11337610.631899225</v>
      </c>
      <c r="H12" s="32">
        <f>G12*Discounting!H19</f>
        <v>7720361.1521126777</v>
      </c>
      <c r="I12" s="32">
        <f>G12*Discounting!I19</f>
        <v>6012576.9833992487</v>
      </c>
      <c r="J12" s="32">
        <f>G12*Discounting!J19</f>
        <v>4704705.3362412751</v>
      </c>
      <c r="K12" s="94">
        <f>Benefits!F9+Benefits!G9</f>
        <v>13379891.682628023</v>
      </c>
      <c r="L12" s="32">
        <f>K12*Discounting!H19</f>
        <v>9111055.1702491287</v>
      </c>
      <c r="M12" s="32">
        <f>K12*Discounting!I19</f>
        <v>7095642.2286190363</v>
      </c>
      <c r="N12" s="32">
        <f>K12*Discounting!J19</f>
        <v>5552179.364890174</v>
      </c>
      <c r="O12" s="94">
        <f>Safety!M10</f>
        <v>17448082.705264777</v>
      </c>
      <c r="P12" s="32">
        <f>O12*Discounting!H19</f>
        <v>11881295.298461843</v>
      </c>
      <c r="Q12" s="32">
        <f>O12*Discounting!I19</f>
        <v>9253090.7864268217</v>
      </c>
      <c r="R12" s="32">
        <f>O12*Discounting!J19</f>
        <v>7240334.0065037394</v>
      </c>
      <c r="S12" s="94">
        <f>Benefits!H9</f>
        <v>101357.51143214779</v>
      </c>
      <c r="T12" s="32">
        <f>S12*Discounting!H19</f>
        <v>69019.533228094893</v>
      </c>
      <c r="U12" s="32">
        <f>S12*Discounting!I19</f>
        <v>53752.052360742506</v>
      </c>
      <c r="V12" s="95">
        <f>S12*Discounting!J19</f>
        <v>42059.763770797341</v>
      </c>
      <c r="W12" s="148"/>
      <c r="X12" s="92">
        <f t="shared" si="9"/>
        <v>2029</v>
      </c>
      <c r="Y12" s="140">
        <f t="shared" si="3"/>
        <v>0</v>
      </c>
      <c r="Z12" s="72">
        <f t="shared" si="4"/>
        <v>42266942.531224169</v>
      </c>
      <c r="AA12" s="140">
        <f t="shared" si="0"/>
        <v>0</v>
      </c>
      <c r="AB12" s="102">
        <f t="shared" si="5"/>
        <v>28781731.154051743</v>
      </c>
      <c r="AC12" s="140">
        <f t="shared" si="1"/>
        <v>0</v>
      </c>
      <c r="AD12" s="102">
        <f t="shared" si="6"/>
        <v>22415062.050805852</v>
      </c>
      <c r="AE12" s="140">
        <f t="shared" si="2"/>
        <v>0</v>
      </c>
      <c r="AF12" s="102">
        <f t="shared" si="7"/>
        <v>17539278.471405987</v>
      </c>
    </row>
    <row r="13" spans="1:32">
      <c r="A13" s="28">
        <f t="shared" si="8"/>
        <v>2030</v>
      </c>
      <c r="B13" s="139">
        <f>Discounting!D16*1000000</f>
        <v>0</v>
      </c>
      <c r="C13" s="168">
        <f>B13*Discounting!H16</f>
        <v>0</v>
      </c>
      <c r="D13" s="168">
        <f>B13*Discounting!I16</f>
        <v>0</v>
      </c>
      <c r="E13" s="138">
        <f>B13*Discounting!J16</f>
        <v>0</v>
      </c>
      <c r="F13" s="146"/>
      <c r="G13" s="94">
        <f>Benefits!D10+Benefits!E10</f>
        <v>11564362.844537208</v>
      </c>
      <c r="H13" s="32">
        <f>G13*Discounting!H20</f>
        <v>7645406.1894708052</v>
      </c>
      <c r="I13" s="32">
        <f>G13*Discounting!I20</f>
        <v>5840789.0695878435</v>
      </c>
      <c r="J13" s="32">
        <f>G13*Discounting!J20</f>
        <v>4484859.2924916837</v>
      </c>
      <c r="K13" s="94">
        <f>Benefits!F10+Benefits!G10</f>
        <v>13647489.516280584</v>
      </c>
      <c r="L13" s="32">
        <f>K13*Discounting!H20</f>
        <v>9022598.3239360284</v>
      </c>
      <c r="M13" s="32">
        <f>K13*Discounting!I20</f>
        <v>6892909.5935156383</v>
      </c>
      <c r="N13" s="32">
        <f>K13*Discounting!J20</f>
        <v>5292731.7310168017</v>
      </c>
      <c r="O13" s="94">
        <f>Safety!M11</f>
        <v>17797044.359370071</v>
      </c>
      <c r="P13" s="32">
        <f>O13*Discounting!H20</f>
        <v>11765942.916923376</v>
      </c>
      <c r="Q13" s="32">
        <f>O13*Discounting!I20</f>
        <v>8988716.7639574874</v>
      </c>
      <c r="R13" s="32">
        <f>O13*Discounting!J20</f>
        <v>6902000.6417138455</v>
      </c>
      <c r="S13" s="94">
        <f>Benefits!H10</f>
        <v>103384.66166079075</v>
      </c>
      <c r="T13" s="32">
        <f>S13*Discounting!H20</f>
        <v>68349.440672482306</v>
      </c>
      <c r="U13" s="32">
        <f>S13*Discounting!I20</f>
        <v>52216.279436149882</v>
      </c>
      <c r="V13" s="95">
        <f>S13*Discounting!J20</f>
        <v>40094.354248797477</v>
      </c>
      <c r="W13" s="148"/>
      <c r="X13" s="92">
        <f t="shared" si="9"/>
        <v>2030</v>
      </c>
      <c r="Y13" s="140">
        <f t="shared" si="3"/>
        <v>0</v>
      </c>
      <c r="Z13" s="72">
        <f t="shared" si="4"/>
        <v>43112281.381848648</v>
      </c>
      <c r="AA13" s="140">
        <f t="shared" si="0"/>
        <v>0</v>
      </c>
      <c r="AB13" s="102">
        <f t="shared" si="5"/>
        <v>28502296.871002693</v>
      </c>
      <c r="AC13" s="140">
        <f t="shared" si="1"/>
        <v>0</v>
      </c>
      <c r="AD13" s="102">
        <f t="shared" si="6"/>
        <v>21774631.706497118</v>
      </c>
      <c r="AE13" s="140">
        <f t="shared" si="2"/>
        <v>0</v>
      </c>
      <c r="AF13" s="102">
        <f t="shared" si="7"/>
        <v>16719686.019471128</v>
      </c>
    </row>
    <row r="14" spans="1:32">
      <c r="A14" s="28">
        <f t="shared" si="8"/>
        <v>2031</v>
      </c>
      <c r="B14" s="139">
        <f>Discounting!D17*1000000</f>
        <v>0</v>
      </c>
      <c r="C14" s="168">
        <f>B14*Discounting!H17</f>
        <v>0</v>
      </c>
      <c r="D14" s="168">
        <f>B14*Discounting!I17</f>
        <v>0</v>
      </c>
      <c r="E14" s="138">
        <f>B14*Discounting!J17</f>
        <v>0</v>
      </c>
      <c r="F14" s="146"/>
      <c r="G14" s="94">
        <f>Benefits!D11+Benefits!E11</f>
        <v>11795650.101427956</v>
      </c>
      <c r="H14" s="32">
        <f>G14*Discounting!H21</f>
        <v>7571178.9449128378</v>
      </c>
      <c r="I14" s="32">
        <f>G14*Discounting!I21</f>
        <v>5673909.3818853339</v>
      </c>
      <c r="J14" s="32">
        <f>G14*Discounting!J21</f>
        <v>4275286.428356559</v>
      </c>
      <c r="K14" s="94">
        <f>Benefits!F11+Benefits!G11</f>
        <v>13920439.306606196</v>
      </c>
      <c r="L14" s="32">
        <f>K14*Discounting!H21</f>
        <v>8935000.2819560673</v>
      </c>
      <c r="M14" s="32">
        <f>K14*Discounting!I21</f>
        <v>6695969.3194151903</v>
      </c>
      <c r="N14" s="32">
        <f>K14*Discounting!J21</f>
        <v>5045407.8183524646</v>
      </c>
      <c r="O14" s="94">
        <f>Safety!M12</f>
        <v>18152985.246557474</v>
      </c>
      <c r="P14" s="32">
        <f>O14*Discounting!H21</f>
        <v>11651710.461419266</v>
      </c>
      <c r="Q14" s="32">
        <f>O14*Discounting!I21</f>
        <v>8731896.2849872708</v>
      </c>
      <c r="R14" s="32">
        <f>O14*Discounting!J21</f>
        <v>6579477.2472412353</v>
      </c>
      <c r="S14" s="94">
        <f>Benefits!H11</f>
        <v>105452.35489400658</v>
      </c>
      <c r="T14" s="32">
        <f>S14*Discounting!H21</f>
        <v>67685.85386983685</v>
      </c>
      <c r="U14" s="32">
        <f>S14*Discounting!I21</f>
        <v>50724.385737974168</v>
      </c>
      <c r="V14" s="95">
        <f>S14*Discounting!J21</f>
        <v>38220.786293246194</v>
      </c>
      <c r="W14" s="148"/>
      <c r="X14" s="92">
        <f t="shared" si="9"/>
        <v>2031</v>
      </c>
      <c r="Y14" s="140">
        <f t="shared" si="3"/>
        <v>0</v>
      </c>
      <c r="Z14" s="72">
        <f t="shared" si="4"/>
        <v>43974527.009485632</v>
      </c>
      <c r="AA14" s="140">
        <f t="shared" si="0"/>
        <v>0</v>
      </c>
      <c r="AB14" s="102">
        <f t="shared" si="5"/>
        <v>28225575.542158008</v>
      </c>
      <c r="AC14" s="140">
        <f t="shared" si="1"/>
        <v>0</v>
      </c>
      <c r="AD14" s="102">
        <f t="shared" si="6"/>
        <v>21152499.372025769</v>
      </c>
      <c r="AE14" s="140">
        <f t="shared" si="2"/>
        <v>0</v>
      </c>
      <c r="AF14" s="102">
        <f t="shared" si="7"/>
        <v>15938392.280243505</v>
      </c>
    </row>
    <row r="15" spans="1:32">
      <c r="A15" s="28">
        <f t="shared" si="8"/>
        <v>2032</v>
      </c>
      <c r="B15" s="139">
        <f>Discounting!D18*1000000</f>
        <v>0</v>
      </c>
      <c r="C15" s="168">
        <f>B15*Discounting!H18</f>
        <v>0</v>
      </c>
      <c r="D15" s="168">
        <f>B15*Discounting!I18</f>
        <v>0</v>
      </c>
      <c r="E15" s="138">
        <f>B15*Discounting!J18</f>
        <v>0</v>
      </c>
      <c r="F15" s="146"/>
      <c r="G15" s="94">
        <f>Benefits!D12+Benefits!E12</f>
        <v>12031563.103456516</v>
      </c>
      <c r="H15" s="32">
        <f>G15*Discounting!H22</f>
        <v>7497672.3532146569</v>
      </c>
      <c r="I15" s="32">
        <f>G15*Discounting!I22</f>
        <v>5511797.6852600388</v>
      </c>
      <c r="J15" s="32">
        <f>G15*Discounting!J22</f>
        <v>4075506.6887137298</v>
      </c>
      <c r="K15" s="94">
        <f>Benefits!F12+Benefits!G12</f>
        <v>14198848.092738323</v>
      </c>
      <c r="L15" s="32">
        <f>K15*Discounting!H22</f>
        <v>8848252.706403099</v>
      </c>
      <c r="M15" s="32">
        <f>K15*Discounting!I22</f>
        <v>6504655.9102890426</v>
      </c>
      <c r="N15" s="32">
        <f>K15*Discounting!J22</f>
        <v>4809641.097868707</v>
      </c>
      <c r="O15" s="94">
        <f>Safety!M13</f>
        <v>18516044.951488625</v>
      </c>
      <c r="P15" s="32">
        <f>O15*Discounting!H22</f>
        <v>11538587.058881218</v>
      </c>
      <c r="Q15" s="32">
        <f>O15*Discounting!I22</f>
        <v>8482413.5339876357</v>
      </c>
      <c r="R15" s="32">
        <f>O15*Discounting!J22</f>
        <v>6272025.0394262262</v>
      </c>
      <c r="S15" s="94">
        <f>Benefits!H12</f>
        <v>107561.40199188673</v>
      </c>
      <c r="T15" s="32">
        <f>S15*Discounting!H22</f>
        <v>67028.709657508356</v>
      </c>
      <c r="U15" s="32">
        <f>S15*Discounting!I22</f>
        <v>49275.117574032054</v>
      </c>
      <c r="V15" s="95">
        <f>S15*Discounting!J22</f>
        <v>36434.768242159931</v>
      </c>
      <c r="W15" s="148"/>
      <c r="X15" s="92">
        <f t="shared" si="9"/>
        <v>2032</v>
      </c>
      <c r="Y15" s="140">
        <f t="shared" si="3"/>
        <v>0</v>
      </c>
      <c r="Z15" s="72">
        <f t="shared" si="4"/>
        <v>44854017.549675353</v>
      </c>
      <c r="AA15" s="140">
        <f t="shared" si="0"/>
        <v>0</v>
      </c>
      <c r="AB15" s="102">
        <f t="shared" si="5"/>
        <v>27951540.828156482</v>
      </c>
      <c r="AC15" s="140">
        <f t="shared" si="1"/>
        <v>0</v>
      </c>
      <c r="AD15" s="102">
        <f t="shared" si="6"/>
        <v>20548142.247110751</v>
      </c>
      <c r="AE15" s="140">
        <f t="shared" si="2"/>
        <v>0</v>
      </c>
      <c r="AF15" s="102">
        <f t="shared" si="7"/>
        <v>15193607.594250822</v>
      </c>
    </row>
    <row r="16" spans="1:32">
      <c r="A16" s="28">
        <f t="shared" si="8"/>
        <v>2033</v>
      </c>
      <c r="B16" s="139">
        <f>Discounting!D19*1000000</f>
        <v>0</v>
      </c>
      <c r="C16" s="168">
        <f>B16*Discounting!H19</f>
        <v>0</v>
      </c>
      <c r="D16" s="168">
        <f>B16*Discounting!I19</f>
        <v>0</v>
      </c>
      <c r="E16" s="138">
        <f>B16*Discounting!J19</f>
        <v>0</v>
      </c>
      <c r="F16" s="146"/>
      <c r="G16" s="94">
        <f>Benefits!D13+Benefits!E13</f>
        <v>12272194.365525642</v>
      </c>
      <c r="H16" s="32">
        <f>G16*Discounting!H23</f>
        <v>7424879.4177465513</v>
      </c>
      <c r="I16" s="32">
        <f>G16*Discounting!I23</f>
        <v>5354317.7513954639</v>
      </c>
      <c r="J16" s="32">
        <f>G16*Discounting!J23</f>
        <v>3885062.4509233674</v>
      </c>
      <c r="K16" s="94">
        <f>Benefits!F13+Benefits!G13</f>
        <v>14482825.054593086</v>
      </c>
      <c r="L16" s="32">
        <f>K16*Discounting!H23</f>
        <v>8762347.3403215129</v>
      </c>
      <c r="M16" s="32">
        <f>K16*Discounting!I23</f>
        <v>6318808.5985664967</v>
      </c>
      <c r="N16" s="32">
        <f>K16*Discounting!J23</f>
        <v>4584891.5138561493</v>
      </c>
      <c r="O16" s="94">
        <f>Safety!M14</f>
        <v>18886365.850518398</v>
      </c>
      <c r="P16" s="32">
        <f>O16*Discounting!H23</f>
        <v>11426561.941804701</v>
      </c>
      <c r="Q16" s="32">
        <f>O16*Discounting!I23</f>
        <v>8240058.8615879882</v>
      </c>
      <c r="R16" s="32">
        <f>O16*Discounting!J23</f>
        <v>5978939.7572100479</v>
      </c>
      <c r="S16" s="94">
        <f>Benefits!H13</f>
        <v>109712.63003172443</v>
      </c>
      <c r="T16" s="32">
        <f>S16*Discounting!H23</f>
        <v>66377.94548607622</v>
      </c>
      <c r="U16" s="32">
        <f>S16*Discounting!I23</f>
        <v>47867.257071916829</v>
      </c>
      <c r="V16" s="95">
        <f>S16*Discounting!J23</f>
        <v>34732.208978507588</v>
      </c>
      <c r="W16" s="148"/>
      <c r="X16" s="92">
        <f t="shared" si="9"/>
        <v>2033</v>
      </c>
      <c r="Y16" s="140">
        <f t="shared" si="3"/>
        <v>0</v>
      </c>
      <c r="Z16" s="72">
        <f t="shared" si="4"/>
        <v>45751097.900668852</v>
      </c>
      <c r="AA16" s="140">
        <f t="shared" si="0"/>
        <v>0</v>
      </c>
      <c r="AB16" s="102">
        <f t="shared" si="5"/>
        <v>27680166.645358842</v>
      </c>
      <c r="AC16" s="140">
        <f t="shared" si="1"/>
        <v>0</v>
      </c>
      <c r="AD16" s="102">
        <f t="shared" si="6"/>
        <v>19961052.468621865</v>
      </c>
      <c r="AE16" s="140">
        <f t="shared" si="2"/>
        <v>0</v>
      </c>
      <c r="AF16" s="102">
        <f t="shared" si="7"/>
        <v>14483625.930968072</v>
      </c>
    </row>
    <row r="17" spans="1:32">
      <c r="A17" s="28">
        <f t="shared" si="8"/>
        <v>2034</v>
      </c>
      <c r="B17" s="139">
        <f>Discounting!D20*1000000</f>
        <v>0</v>
      </c>
      <c r="C17" s="168">
        <f>B17*Discounting!H20</f>
        <v>0</v>
      </c>
      <c r="D17" s="168">
        <f>B17*Discounting!I20</f>
        <v>0</v>
      </c>
      <c r="E17" s="138">
        <f>B17*Discounting!J20</f>
        <v>0</v>
      </c>
      <c r="F17" s="146"/>
      <c r="G17" s="94">
        <f>Benefits!D14+Benefits!E14</f>
        <v>12517638.252836157</v>
      </c>
      <c r="H17" s="32">
        <f>G17*Discounting!H24</f>
        <v>7352793.2098072646</v>
      </c>
      <c r="I17" s="32">
        <f>G17*Discounting!I24</f>
        <v>5201337.2442127373</v>
      </c>
      <c r="J17" s="32">
        <f>G17*Discounting!J24</f>
        <v>3703517.4765811539</v>
      </c>
      <c r="K17" s="94">
        <f>Benefits!F14+Benefits!G14</f>
        <v>14772481.55568495</v>
      </c>
      <c r="L17" s="32">
        <f>K17*Discounting!H24</f>
        <v>8677276.006920334</v>
      </c>
      <c r="M17" s="32">
        <f>K17*Discounting!I24</f>
        <v>6138271.2100360263</v>
      </c>
      <c r="N17" s="32">
        <f>K17*Discounting!J24</f>
        <v>4370644.2468535258</v>
      </c>
      <c r="O17" s="94">
        <f>Safety!M15</f>
        <v>19264093.167528763</v>
      </c>
      <c r="P17" s="32">
        <f>O17*Discounting!H24</f>
        <v>11315624.447224071</v>
      </c>
      <c r="Q17" s="32">
        <f>O17*Discounting!I24</f>
        <v>8004628.608399759</v>
      </c>
      <c r="R17" s="32">
        <f>O17*Discounting!J24</f>
        <v>5699550.0489292024</v>
      </c>
      <c r="S17" s="94">
        <f>Benefits!H14</f>
        <v>111906.88263235893</v>
      </c>
      <c r="T17" s="32">
        <f>S17*Discounting!H24</f>
        <v>65733.499413395883</v>
      </c>
      <c r="U17" s="32">
        <f>S17*Discounting!I24</f>
        <v>46499.621155576358</v>
      </c>
      <c r="V17" s="95">
        <f>S17*Discounting!J24</f>
        <v>33109.208558951163</v>
      </c>
      <c r="W17" s="148"/>
      <c r="X17" s="92">
        <f t="shared" si="9"/>
        <v>2034</v>
      </c>
      <c r="Y17" s="140">
        <f t="shared" si="3"/>
        <v>0</v>
      </c>
      <c r="Z17" s="72">
        <f t="shared" si="4"/>
        <v>46666119.85868223</v>
      </c>
      <c r="AA17" s="140">
        <f t="shared" si="0"/>
        <v>0</v>
      </c>
      <c r="AB17" s="102">
        <f t="shared" si="5"/>
        <v>27411427.16336507</v>
      </c>
      <c r="AC17" s="140">
        <f t="shared" si="1"/>
        <v>0</v>
      </c>
      <c r="AD17" s="102">
        <f t="shared" si="6"/>
        <v>19390736.683804099</v>
      </c>
      <c r="AE17" s="140">
        <f t="shared" si="2"/>
        <v>0</v>
      </c>
      <c r="AF17" s="102">
        <f t="shared" si="7"/>
        <v>13806820.980922833</v>
      </c>
    </row>
    <row r="18" spans="1:32">
      <c r="A18" s="28">
        <f t="shared" si="8"/>
        <v>2035</v>
      </c>
      <c r="B18" s="139">
        <f>Discounting!D21*1000000</f>
        <v>0</v>
      </c>
      <c r="C18" s="168">
        <f>B18*Discounting!H21</f>
        <v>0</v>
      </c>
      <c r="D18" s="168">
        <f>B18*Discounting!I21</f>
        <v>0</v>
      </c>
      <c r="E18" s="138">
        <f>B18*Discounting!J21</f>
        <v>0</v>
      </c>
      <c r="F18" s="146"/>
      <c r="G18" s="94">
        <f>Benefits!D15+Benefits!E15</f>
        <v>12767991.017892879</v>
      </c>
      <c r="H18" s="32">
        <f>G18*Discounting!H25</f>
        <v>7281406.8679644754</v>
      </c>
      <c r="I18" s="32">
        <f>G18*Discounting!I25</f>
        <v>5052727.6086638011</v>
      </c>
      <c r="J18" s="32">
        <f>G18*Discounting!J25</f>
        <v>3530455.9122549314</v>
      </c>
      <c r="K18" s="94">
        <f>Benefits!F15+Benefits!G15</f>
        <v>15067931.186798649</v>
      </c>
      <c r="L18" s="32">
        <f>K18*Discounting!H25</f>
        <v>8593030.6087948941</v>
      </c>
      <c r="M18" s="32">
        <f>K18*Discounting!I25</f>
        <v>5962892.0326064257</v>
      </c>
      <c r="N18" s="32">
        <f>K18*Discounting!J25</f>
        <v>4166408.5343837347</v>
      </c>
      <c r="O18" s="94">
        <f>Safety!M16</f>
        <v>19649375.030879341</v>
      </c>
      <c r="P18" s="32">
        <f>O18*Discounting!H25</f>
        <v>11205764.015697625</v>
      </c>
      <c r="Q18" s="32">
        <f>O18*Discounting!I25</f>
        <v>7775924.9338740529</v>
      </c>
      <c r="R18" s="32">
        <f>O18*Discounting!J25</f>
        <v>5433215.9344932595</v>
      </c>
      <c r="S18" s="94">
        <f>Benefits!H15</f>
        <v>114145.02028500609</v>
      </c>
      <c r="T18" s="32">
        <f>S18*Discounting!H25</f>
        <v>65095.310098702699</v>
      </c>
      <c r="U18" s="32">
        <f>S18*Discounting!I25</f>
        <v>45171.060551131312</v>
      </c>
      <c r="V18" s="95">
        <f>S18*Discounting!J25</f>
        <v>31562.049280495492</v>
      </c>
      <c r="W18" s="148"/>
      <c r="X18" s="92">
        <f t="shared" si="9"/>
        <v>2035</v>
      </c>
      <c r="Y18" s="140">
        <f t="shared" si="3"/>
        <v>0</v>
      </c>
      <c r="Z18" s="72">
        <f t="shared" si="4"/>
        <v>47599442.255855873</v>
      </c>
      <c r="AA18" s="140">
        <f t="shared" si="0"/>
        <v>0</v>
      </c>
      <c r="AB18" s="102">
        <f t="shared" si="5"/>
        <v>27145296.802555699</v>
      </c>
      <c r="AC18" s="140">
        <f t="shared" si="1"/>
        <v>0</v>
      </c>
      <c r="AD18" s="102">
        <f t="shared" si="6"/>
        <v>18836715.635695413</v>
      </c>
      <c r="AE18" s="140">
        <f t="shared" si="2"/>
        <v>0</v>
      </c>
      <c r="AF18" s="102">
        <f t="shared" si="7"/>
        <v>13161642.430412423</v>
      </c>
    </row>
    <row r="19" spans="1:32">
      <c r="A19" s="28">
        <f t="shared" si="8"/>
        <v>2036</v>
      </c>
      <c r="B19" s="139">
        <f>Discounting!D22*1000000</f>
        <v>0</v>
      </c>
      <c r="C19" s="168">
        <f>B19*Discounting!H22</f>
        <v>0</v>
      </c>
      <c r="D19" s="168">
        <f>B19*Discounting!I22</f>
        <v>0</v>
      </c>
      <c r="E19" s="138">
        <f>B19*Discounting!J22</f>
        <v>0</v>
      </c>
      <c r="F19" s="146"/>
      <c r="G19" s="94">
        <f>Benefits!D16+Benefits!E16</f>
        <v>13023350.838250738</v>
      </c>
      <c r="H19" s="32">
        <f>G19*Discounting!H26</f>
        <v>7210713.5974017149</v>
      </c>
      <c r="I19" s="32">
        <f>G19*Discounting!I26</f>
        <v>4908363.96270198</v>
      </c>
      <c r="J19" s="32">
        <f>G19*Discounting!J26</f>
        <v>3365481.3369159168</v>
      </c>
      <c r="K19" s="94">
        <f>Benefits!F16+Benefits!G16</f>
        <v>15369289.810534623</v>
      </c>
      <c r="L19" s="32">
        <f>K19*Discounting!H26</f>
        <v>8509603.1271561105</v>
      </c>
      <c r="M19" s="32">
        <f>K19*Discounting!I26</f>
        <v>5792523.6888176715</v>
      </c>
      <c r="N19" s="32">
        <f>K19*Discounting!J26</f>
        <v>3971716.54679571</v>
      </c>
      <c r="O19" s="94">
        <f>Safety!M17</f>
        <v>20042362.531496931</v>
      </c>
      <c r="P19" s="32">
        <f>O19*Discounting!H26</f>
        <v>11096970.190302504</v>
      </c>
      <c r="Q19" s="32">
        <f>O19*Discounting!I26</f>
        <v>7553755.650049082</v>
      </c>
      <c r="R19" s="32">
        <f>O19*Discounting!J26</f>
        <v>5179327.3394234823</v>
      </c>
      <c r="S19" s="94">
        <f>Benefits!H16</f>
        <v>116427.92069070623</v>
      </c>
      <c r="T19" s="32">
        <f>S19*Discounting!H26</f>
        <v>64463.316796773564</v>
      </c>
      <c r="U19" s="32">
        <f>S19*Discounting!I26</f>
        <v>43880.458821098997</v>
      </c>
      <c r="V19" s="95">
        <f>S19*Discounting!J26</f>
        <v>30087.187164584495</v>
      </c>
      <c r="W19" s="148"/>
      <c r="X19" s="92">
        <f t="shared" si="9"/>
        <v>2036</v>
      </c>
      <c r="Y19" s="140">
        <f t="shared" si="3"/>
        <v>0</v>
      </c>
      <c r="Z19" s="72">
        <f t="shared" si="4"/>
        <v>48551431.100973003</v>
      </c>
      <c r="AA19" s="140">
        <f t="shared" si="0"/>
        <v>0</v>
      </c>
      <c r="AB19" s="102">
        <f t="shared" si="5"/>
        <v>26881750.231657103</v>
      </c>
      <c r="AC19" s="140">
        <f t="shared" si="1"/>
        <v>0</v>
      </c>
      <c r="AD19" s="102">
        <f t="shared" si="6"/>
        <v>18298523.760389835</v>
      </c>
      <c r="AE19" s="140">
        <f t="shared" si="2"/>
        <v>0</v>
      </c>
      <c r="AF19" s="102">
        <f t="shared" si="7"/>
        <v>12546612.410299692</v>
      </c>
    </row>
    <row r="20" spans="1:32">
      <c r="A20" s="28">
        <f t="shared" si="8"/>
        <v>2037</v>
      </c>
      <c r="B20" s="139">
        <f>Discounting!D23*1000000</f>
        <v>0</v>
      </c>
      <c r="C20" s="168">
        <f>B20*Discounting!H23</f>
        <v>0</v>
      </c>
      <c r="D20" s="168">
        <f>B20*Discounting!I23</f>
        <v>0</v>
      </c>
      <c r="E20" s="138">
        <f>B20*Discounting!J23</f>
        <v>0</v>
      </c>
      <c r="F20" s="146"/>
      <c r="G20" s="94">
        <f>Benefits!D17+Benefits!E17</f>
        <v>13283817.855015751</v>
      </c>
      <c r="H20" s="32">
        <f>G20*Discounting!H27</f>
        <v>7140706.6692716004</v>
      </c>
      <c r="I20" s="32">
        <f>G20*Discounting!I27</f>
        <v>4768124.9923390653</v>
      </c>
      <c r="J20" s="32">
        <f>G20*Discounting!J27</f>
        <v>3208215.8538824623</v>
      </c>
      <c r="K20" s="94">
        <f>Benefits!F17+Benefits!G17</f>
        <v>15676675.606745314</v>
      </c>
      <c r="L20" s="32">
        <f>K20*Discounting!H27</f>
        <v>8426985.6210672166</v>
      </c>
      <c r="M20" s="32">
        <f>K20*Discounting!I27</f>
        <v>5627023.0119943088</v>
      </c>
      <c r="N20" s="32">
        <f>K20*Discounting!J27</f>
        <v>3786122.315637032</v>
      </c>
      <c r="O20" s="94">
        <f>Safety!M18</f>
        <v>20443209.782126866</v>
      </c>
      <c r="P20" s="32">
        <f>O20*Discounting!H27</f>
        <v>10989232.615639372</v>
      </c>
      <c r="Q20" s="32">
        <f>O20*Discounting!I27</f>
        <v>7337934.0600476786</v>
      </c>
      <c r="R20" s="32">
        <f>O20*Discounting!J27</f>
        <v>4937302.6973943468</v>
      </c>
      <c r="S20" s="94">
        <f>Benefits!H17</f>
        <v>118756.47910452033</v>
      </c>
      <c r="T20" s="32">
        <f>S20*Discounting!H27</f>
        <v>63837.459352144688</v>
      </c>
      <c r="U20" s="32">
        <f>S20*Discounting!I27</f>
        <v>42626.731426210448</v>
      </c>
      <c r="V20" s="95">
        <f>S20*Discounting!J27</f>
        <v>28681.243839136616</v>
      </c>
      <c r="W20" s="148"/>
      <c r="X20" s="92">
        <f t="shared" si="9"/>
        <v>2037</v>
      </c>
      <c r="Y20" s="140">
        <f t="shared" si="3"/>
        <v>0</v>
      </c>
      <c r="Z20" s="72">
        <f t="shared" si="4"/>
        <v>49522459.72299245</v>
      </c>
      <c r="AA20" s="140">
        <f t="shared" si="0"/>
        <v>0</v>
      </c>
      <c r="AB20" s="102">
        <f t="shared" si="5"/>
        <v>26620762.365330331</v>
      </c>
      <c r="AC20" s="140">
        <f t="shared" si="1"/>
        <v>0</v>
      </c>
      <c r="AD20" s="102">
        <f t="shared" si="6"/>
        <v>17775708.795807261</v>
      </c>
      <c r="AE20" s="140">
        <f t="shared" si="2"/>
        <v>0</v>
      </c>
      <c r="AF20" s="102">
        <f t="shared" si="7"/>
        <v>11960322.110752977</v>
      </c>
    </row>
    <row r="21" spans="1:32">
      <c r="A21" s="28">
        <f t="shared" si="8"/>
        <v>2038</v>
      </c>
      <c r="B21" s="139">
        <f>Discounting!D24*1000000</f>
        <v>0</v>
      </c>
      <c r="C21" s="168">
        <f>B21*Discounting!H24</f>
        <v>0</v>
      </c>
      <c r="D21" s="168">
        <f>B21*Discounting!I24</f>
        <v>0</v>
      </c>
      <c r="E21" s="138">
        <f>B21*Discounting!J24</f>
        <v>0</v>
      </c>
      <c r="F21" s="146"/>
      <c r="G21" s="94">
        <f>Benefits!D18+Benefits!E18</f>
        <v>13549494.212116066</v>
      </c>
      <c r="H21" s="32">
        <f>G21*Discounting!H28</f>
        <v>7071379.4200553717</v>
      </c>
      <c r="I21" s="32">
        <f>G21*Discounting!I28</f>
        <v>4631892.8497008067</v>
      </c>
      <c r="J21" s="32">
        <f>G21*Discounting!J28</f>
        <v>3058299.2251963662</v>
      </c>
      <c r="K21" s="94">
        <f>Benefits!F18+Benefits!G18</f>
        <v>15990209.118880222</v>
      </c>
      <c r="L21" s="32">
        <f>K21*Discounting!H28</f>
        <v>8345170.2266879231</v>
      </c>
      <c r="M21" s="32">
        <f>K21*Discounting!I28</f>
        <v>5466250.9259373294</v>
      </c>
      <c r="N21" s="32">
        <f>K21*Discounting!J28</f>
        <v>3609200.7121025915</v>
      </c>
      <c r="O21" s="94">
        <f>Safety!M19</f>
        <v>20852073.977769405</v>
      </c>
      <c r="P21" s="32">
        <f>O21*Discounting!H28</f>
        <v>10882541.036846759</v>
      </c>
      <c r="Q21" s="32">
        <f>O21*Discounting!I28</f>
        <v>7128278.8011891739</v>
      </c>
      <c r="R21" s="32">
        <f>O21*Discounting!J28</f>
        <v>4706587.6180768544</v>
      </c>
      <c r="S21" s="94">
        <f>Benefits!H18</f>
        <v>121131.60868661077</v>
      </c>
      <c r="T21" s="32">
        <f>S21*Discounting!H28</f>
        <v>63217.678193386018</v>
      </c>
      <c r="U21" s="32">
        <f>S21*Discounting!I28</f>
        <v>41408.824814033018</v>
      </c>
      <c r="V21" s="95">
        <f>S21*Discounting!J28</f>
        <v>27340.99879992463</v>
      </c>
      <c r="W21" s="148"/>
      <c r="X21" s="92">
        <f t="shared" si="9"/>
        <v>2038</v>
      </c>
      <c r="Y21" s="140">
        <f t="shared" si="3"/>
        <v>0</v>
      </c>
      <c r="Z21" s="72">
        <f t="shared" si="4"/>
        <v>50512908.917452306</v>
      </c>
      <c r="AA21" s="140">
        <f t="shared" si="0"/>
        <v>0</v>
      </c>
      <c r="AB21" s="102">
        <f t="shared" si="5"/>
        <v>26362308.361783441</v>
      </c>
      <c r="AC21" s="140">
        <f t="shared" si="1"/>
        <v>0</v>
      </c>
      <c r="AD21" s="102">
        <f t="shared" si="6"/>
        <v>17267831.401641343</v>
      </c>
      <c r="AE21" s="140">
        <f t="shared" si="2"/>
        <v>0</v>
      </c>
      <c r="AF21" s="102">
        <f t="shared" si="7"/>
        <v>11401428.554175736</v>
      </c>
    </row>
    <row r="22" spans="1:32">
      <c r="A22" s="28">
        <f t="shared" si="8"/>
        <v>2039</v>
      </c>
      <c r="B22" s="139">
        <f>Discounting!D25*1000000</f>
        <v>0</v>
      </c>
      <c r="C22" s="168">
        <f>B22*Discounting!H25</f>
        <v>0</v>
      </c>
      <c r="D22" s="168">
        <f>B22*Discounting!I25</f>
        <v>0</v>
      </c>
      <c r="E22" s="138">
        <f>B22*Discounting!J25</f>
        <v>0</v>
      </c>
      <c r="F22" s="146"/>
      <c r="G22" s="94">
        <f>Benefits!D19+Benefits!E19</f>
        <v>13820484.096358389</v>
      </c>
      <c r="H22" s="32">
        <f>G22*Discounting!H29</f>
        <v>7002725.2509286208</v>
      </c>
      <c r="I22" s="32">
        <f>G22*Discounting!I29</f>
        <v>4499553.0539950682</v>
      </c>
      <c r="J22" s="32">
        <f>G22*Discounting!J29</f>
        <v>2915388.0464488724</v>
      </c>
      <c r="K22" s="94">
        <f>Benefits!F19+Benefits!G19</f>
        <v>16310013.301257825</v>
      </c>
      <c r="L22" s="32">
        <f>K22*Discounting!H29</f>
        <v>8264149.1565259034</v>
      </c>
      <c r="M22" s="32">
        <f>K22*Discounting!I29</f>
        <v>5310072.3280534036</v>
      </c>
      <c r="N22" s="32">
        <f>K22*Discounting!J29</f>
        <v>3440546.4732192922</v>
      </c>
      <c r="O22" s="94">
        <f>Safety!M20</f>
        <v>21269115.457324795</v>
      </c>
      <c r="P22" s="32">
        <f>O22*Discounting!H29</f>
        <v>10776885.298624946</v>
      </c>
      <c r="Q22" s="32">
        <f>O22*Discounting!I29</f>
        <v>6924613.6925837677</v>
      </c>
      <c r="R22" s="32">
        <f>O22*Discounting!J29</f>
        <v>4486653.6172321411</v>
      </c>
      <c r="S22" s="94">
        <f>Benefits!H19</f>
        <v>123554.24086034296</v>
      </c>
      <c r="T22" s="32">
        <f>S22*Discounting!H29</f>
        <v>62603.914327430801</v>
      </c>
      <c r="U22" s="32">
        <f>S22*Discounting!I29</f>
        <v>40225.715533632057</v>
      </c>
      <c r="V22" s="95">
        <f>S22*Discounting!J29</f>
        <v>26063.382033573009</v>
      </c>
      <c r="W22" s="148"/>
      <c r="X22" s="92">
        <f t="shared" si="9"/>
        <v>2039</v>
      </c>
      <c r="Y22" s="140">
        <f t="shared" si="3"/>
        <v>0</v>
      </c>
      <c r="Z22" s="72">
        <f t="shared" si="4"/>
        <v>51523167.095801353</v>
      </c>
      <c r="AA22" s="140">
        <f t="shared" si="0"/>
        <v>0</v>
      </c>
      <c r="AB22" s="102">
        <f t="shared" si="5"/>
        <v>26106363.6204069</v>
      </c>
      <c r="AC22" s="140">
        <f t="shared" si="1"/>
        <v>0</v>
      </c>
      <c r="AD22" s="102">
        <f t="shared" si="6"/>
        <v>16774464.790165873</v>
      </c>
      <c r="AE22" s="140">
        <f t="shared" si="2"/>
        <v>0</v>
      </c>
      <c r="AF22" s="102">
        <f t="shared" si="7"/>
        <v>10868651.518933879</v>
      </c>
    </row>
    <row r="23" spans="1:32">
      <c r="A23" s="28">
        <f t="shared" si="8"/>
        <v>2040</v>
      </c>
      <c r="B23" s="139">
        <f>Discounting!D26*1000000</f>
        <v>0</v>
      </c>
      <c r="C23" s="168">
        <f>B23*Discounting!H26</f>
        <v>0</v>
      </c>
      <c r="D23" s="168">
        <f>B23*Discounting!I26</f>
        <v>0</v>
      </c>
      <c r="E23" s="138">
        <f>B23*Discounting!J26</f>
        <v>0</v>
      </c>
      <c r="F23" s="146"/>
      <c r="G23" s="94">
        <f>Benefits!D20+Benefits!E20</f>
        <v>14096893.778285552</v>
      </c>
      <c r="H23" s="32">
        <f>G23*Discounting!H30</f>
        <v>6934737.6271331953</v>
      </c>
      <c r="I23" s="32">
        <f>G23*Discounting!I30</f>
        <v>4370994.3953094948</v>
      </c>
      <c r="J23" s="32">
        <f>G23*Discounting!J30</f>
        <v>2779154.960166214</v>
      </c>
      <c r="K23" s="94">
        <f>Benefits!F20+Benefits!G20</f>
        <v>16636213.567282977</v>
      </c>
      <c r="L23" s="32">
        <f>K23*Discounting!H30</f>
        <v>8183914.6986955535</v>
      </c>
      <c r="M23" s="32">
        <f>K23*Discounting!I30</f>
        <v>5158355.9758233065</v>
      </c>
      <c r="N23" s="32">
        <f>K23*Discounting!J30</f>
        <v>3279773.2735361471</v>
      </c>
      <c r="O23" s="94">
        <f>Safety!M21</f>
        <v>21694497.766471289</v>
      </c>
      <c r="P23" s="32">
        <f>O23*Discounting!H30</f>
        <v>10672255.344269363</v>
      </c>
      <c r="Q23" s="32">
        <f>O23*Discounting!I30</f>
        <v>6726767.5870813755</v>
      </c>
      <c r="R23" s="32">
        <f>O23*Discounting!J30</f>
        <v>4276996.9061465273</v>
      </c>
      <c r="S23" s="94">
        <f>Benefits!H20</f>
        <v>126025.32567754982</v>
      </c>
      <c r="T23" s="32">
        <f>S23*Discounting!H30</f>
        <v>61996.109333960601</v>
      </c>
      <c r="U23" s="32">
        <f>S23*Discounting!I30</f>
        <v>39076.409375528296</v>
      </c>
      <c r="V23" s="95">
        <f>S23*Discounting!J30</f>
        <v>24845.466985275201</v>
      </c>
      <c r="W23" s="148"/>
      <c r="X23" s="92">
        <f t="shared" si="9"/>
        <v>2040</v>
      </c>
      <c r="Y23" s="140">
        <f t="shared" si="3"/>
        <v>0</v>
      </c>
      <c r="Z23" s="72">
        <f t="shared" si="4"/>
        <v>52553630.437717371</v>
      </c>
      <c r="AA23" s="140">
        <f t="shared" si="0"/>
        <v>0</v>
      </c>
      <c r="AB23" s="102">
        <f t="shared" si="5"/>
        <v>25852903.779432073</v>
      </c>
      <c r="AC23" s="140">
        <f t="shared" si="1"/>
        <v>0</v>
      </c>
      <c r="AD23" s="102">
        <f t="shared" si="6"/>
        <v>16295194.367589707</v>
      </c>
      <c r="AE23" s="140">
        <f t="shared" si="2"/>
        <v>0</v>
      </c>
      <c r="AF23" s="102">
        <f t="shared" si="7"/>
        <v>10360770.606834162</v>
      </c>
    </row>
    <row r="24" spans="1:32">
      <c r="A24" s="28">
        <f t="shared" si="8"/>
        <v>2041</v>
      </c>
      <c r="B24" s="139">
        <f>Discounting!D27*1000000</f>
        <v>0</v>
      </c>
      <c r="C24" s="168">
        <f>B24*Discounting!H27</f>
        <v>0</v>
      </c>
      <c r="D24" s="168">
        <f>B24*Discounting!I27</f>
        <v>0</v>
      </c>
      <c r="E24" s="138">
        <f>B24*Discounting!J27</f>
        <v>0</v>
      </c>
      <c r="F24" s="146"/>
      <c r="G24" s="94">
        <f>Benefits!D21+Benefits!E21</f>
        <v>14378831.653851265</v>
      </c>
      <c r="H24" s="32">
        <f>G24*Discounting!H31</f>
        <v>6867410.0773552042</v>
      </c>
      <c r="I24" s="32">
        <f>G24*Discounting!I31</f>
        <v>4246108.8411577949</v>
      </c>
      <c r="J24" s="32">
        <f>G24*Discounting!J31</f>
        <v>2649287.9059528392</v>
      </c>
      <c r="K24" s="94">
        <f>Benefits!F21+Benefits!G21</f>
        <v>16968937.838628642</v>
      </c>
      <c r="L24" s="32">
        <f>K24*Discounting!H31</f>
        <v>8104459.2161839493</v>
      </c>
      <c r="M24" s="32">
        <f>K24*Discounting!I31</f>
        <v>5010974.3765140707</v>
      </c>
      <c r="N24" s="32">
        <f>K24*Discounting!J31</f>
        <v>3126512.8401933368</v>
      </c>
      <c r="O24" s="94">
        <f>Safety!M22</f>
        <v>22128387.721800715</v>
      </c>
      <c r="P24" s="32">
        <f>O24*Discounting!H31</f>
        <v>10568641.21471335</v>
      </c>
      <c r="Q24" s="32">
        <f>O24*Discounting!I31</f>
        <v>6534574.2274504779</v>
      </c>
      <c r="R24" s="32">
        <f>O24*Discounting!J31</f>
        <v>4077137.2376350062</v>
      </c>
      <c r="S24" s="94">
        <f>Benefits!H21</f>
        <v>128545.83219110081</v>
      </c>
      <c r="T24" s="32">
        <f>S24*Discounting!H31</f>
        <v>61394.205359844476</v>
      </c>
      <c r="U24" s="32">
        <f>S24*Discounting!I31</f>
        <v>37959.940536227477</v>
      </c>
      <c r="V24" s="95">
        <f>S24*Discounting!J31</f>
        <v>23684.463855122151</v>
      </c>
      <c r="W24" s="148"/>
      <c r="X24" s="92">
        <f t="shared" si="9"/>
        <v>2041</v>
      </c>
      <c r="Y24" s="140">
        <f t="shared" si="3"/>
        <v>0</v>
      </c>
      <c r="Z24" s="72">
        <f t="shared" si="4"/>
        <v>53604703.046471722</v>
      </c>
      <c r="AA24" s="140">
        <f t="shared" si="0"/>
        <v>0</v>
      </c>
      <c r="AB24" s="102">
        <f t="shared" si="5"/>
        <v>25601904.713612344</v>
      </c>
      <c r="AC24" s="140">
        <f t="shared" si="1"/>
        <v>0</v>
      </c>
      <c r="AD24" s="102">
        <f t="shared" si="6"/>
        <v>15829617.38565857</v>
      </c>
      <c r="AE24" s="140">
        <f t="shared" si="2"/>
        <v>0</v>
      </c>
      <c r="AF24" s="102">
        <f t="shared" si="7"/>
        <v>9876622.4476363044</v>
      </c>
    </row>
    <row r="25" spans="1:32">
      <c r="A25" s="28">
        <f t="shared" si="8"/>
        <v>2042</v>
      </c>
      <c r="B25" s="139">
        <f>Discounting!D28*1000000</f>
        <v>0</v>
      </c>
      <c r="C25" s="168">
        <f>B25*Discounting!H28</f>
        <v>0</v>
      </c>
      <c r="D25" s="168">
        <f>B25*Discounting!I28</f>
        <v>0</v>
      </c>
      <c r="E25" s="138">
        <f>B25*Discounting!J28</f>
        <v>0</v>
      </c>
      <c r="F25" s="146"/>
      <c r="G25" s="94">
        <f>Benefits!D22+Benefits!E22</f>
        <v>14666408.286928291</v>
      </c>
      <c r="H25" s="32">
        <f>G25*Discounting!H32</f>
        <v>6800736.1931090374</v>
      </c>
      <c r="I25" s="32">
        <f>G25*Discounting!I32</f>
        <v>4124791.4456961434</v>
      </c>
      <c r="J25" s="32">
        <f>G25*Discounting!J32</f>
        <v>2525489.4056746699</v>
      </c>
      <c r="K25" s="94">
        <f>Benefits!F22+Benefits!G22</f>
        <v>17308316.595401213</v>
      </c>
      <c r="L25" s="32">
        <f>K25*Discounting!H32</f>
        <v>8025775.1461239094</v>
      </c>
      <c r="M25" s="32">
        <f>K25*Discounting!I32</f>
        <v>4867803.6800422389</v>
      </c>
      <c r="N25" s="32">
        <f>K25*Discounting!J32</f>
        <v>2980414.1093431814</v>
      </c>
      <c r="O25" s="94">
        <f>Safety!M23</f>
        <v>22570955.476236731</v>
      </c>
      <c r="P25" s="32">
        <f>O25*Discounting!H32</f>
        <v>10466033.04758021</v>
      </c>
      <c r="Q25" s="32">
        <f>O25*Discounting!I32</f>
        <v>6347872.1066661794</v>
      </c>
      <c r="R25" s="32">
        <f>O25*Discounting!J32</f>
        <v>3886616.8059698204</v>
      </c>
      <c r="S25" s="94">
        <f>Benefits!H22</f>
        <v>131116.74883492285</v>
      </c>
      <c r="T25" s="32">
        <f>S25*Discounting!H32</f>
        <v>60798.145113632403</v>
      </c>
      <c r="U25" s="32">
        <f>S25*Discounting!I32</f>
        <v>36875.370806620987</v>
      </c>
      <c r="V25" s="95">
        <f>S25*Discounting!J32</f>
        <v>22577.713207686546</v>
      </c>
      <c r="W25" s="148"/>
      <c r="X25" s="92">
        <f t="shared" si="9"/>
        <v>2042</v>
      </c>
      <c r="Y25" s="140">
        <f t="shared" si="3"/>
        <v>0</v>
      </c>
      <c r="Z25" s="72">
        <f t="shared" si="4"/>
        <v>54676797.107401155</v>
      </c>
      <c r="AA25" s="140">
        <f t="shared" si="0"/>
        <v>0</v>
      </c>
      <c r="AB25" s="102">
        <f t="shared" si="5"/>
        <v>25353342.531926788</v>
      </c>
      <c r="AC25" s="140">
        <f t="shared" si="1"/>
        <v>0</v>
      </c>
      <c r="AD25" s="102">
        <f t="shared" si="6"/>
        <v>15377342.603211183</v>
      </c>
      <c r="AE25" s="140">
        <f t="shared" si="2"/>
        <v>0</v>
      </c>
      <c r="AF25" s="102">
        <f t="shared" si="7"/>
        <v>9415098.0341953579</v>
      </c>
    </row>
    <row r="26" spans="1:32">
      <c r="A26" s="74" t="s">
        <v>55</v>
      </c>
      <c r="B26" s="99">
        <f>SUM(B4:B25)</f>
        <v>40545609.412286311</v>
      </c>
      <c r="C26" s="169">
        <f>SUM(C4:C25)</f>
        <v>38791397.448836461</v>
      </c>
      <c r="D26" s="169">
        <f>SUM(D4:D25)</f>
        <v>37695464.532964602</v>
      </c>
      <c r="E26" s="97">
        <f>SUM(E4:E25)</f>
        <v>36653599.215404257</v>
      </c>
      <c r="F26" s="146"/>
      <c r="G26" s="96">
        <f t="shared" ref="G26:V26" si="10">SUM(G4:G25)</f>
        <v>244613133.45852181</v>
      </c>
      <c r="H26" s="162">
        <f t="shared" si="10"/>
        <v>149459988.12824616</v>
      </c>
      <c r="I26" s="162">
        <f t="shared" si="10"/>
        <v>110173888.92901874</v>
      </c>
      <c r="J26" s="111">
        <f t="shared" si="10"/>
        <v>82647673.506425589</v>
      </c>
      <c r="K26" s="96">
        <f t="shared" si="10"/>
        <v>288676100.81922472</v>
      </c>
      <c r="L26" s="162">
        <f t="shared" si="10"/>
        <v>176382706.81269762</v>
      </c>
      <c r="M26" s="162">
        <f t="shared" si="10"/>
        <v>130019873.49756296</v>
      </c>
      <c r="N26" s="111">
        <f t="shared" si="10"/>
        <v>97535270.458652094</v>
      </c>
      <c r="O26" s="96">
        <f t="shared" si="10"/>
        <v>376448823.47342515</v>
      </c>
      <c r="P26" s="162">
        <f t="shared" si="10"/>
        <v>230012329.63957289</v>
      </c>
      <c r="Q26" s="162">
        <f t="shared" si="10"/>
        <v>169552755.72664082</v>
      </c>
      <c r="R26" s="111">
        <f t="shared" si="10"/>
        <v>127191124.26391995</v>
      </c>
      <c r="S26" s="96">
        <f t="shared" si="10"/>
        <v>2186825.7145132129</v>
      </c>
      <c r="T26" s="162">
        <f t="shared" si="10"/>
        <v>1336162.7019307602</v>
      </c>
      <c r="U26" s="162">
        <f t="shared" si="10"/>
        <v>984947.49636472249</v>
      </c>
      <c r="V26" s="111">
        <f t="shared" si="10"/>
        <v>738864.89704442059</v>
      </c>
      <c r="W26" s="148"/>
      <c r="X26" s="92"/>
      <c r="Y26" s="106">
        <f>SUM(Y4:Y25)</f>
        <v>40545609.412286311</v>
      </c>
      <c r="Z26" s="107">
        <f t="shared" si="4"/>
        <v>911924883.46568489</v>
      </c>
      <c r="AA26" s="106">
        <f t="shared" ref="AA26:AF26" si="11">SUM(AA4:AA25)</f>
        <v>38791397.448836461</v>
      </c>
      <c r="AB26" s="107">
        <f t="shared" si="11"/>
        <v>557191187.28244746</v>
      </c>
      <c r="AC26" s="106">
        <f t="shared" si="11"/>
        <v>37695464.532964602</v>
      </c>
      <c r="AD26" s="107">
        <f t="shared" si="11"/>
        <v>410731465.64958721</v>
      </c>
      <c r="AE26" s="106">
        <f t="shared" si="11"/>
        <v>36653599.215404257</v>
      </c>
      <c r="AF26" s="107">
        <f t="shared" si="11"/>
        <v>308112933.12604213</v>
      </c>
    </row>
    <row r="27" spans="1:32">
      <c r="A27" s="74"/>
      <c r="B27" s="87"/>
      <c r="C27" s="87"/>
      <c r="D27" s="87"/>
      <c r="E27" s="87"/>
      <c r="F27" s="146"/>
      <c r="G27" s="36"/>
      <c r="H27" s="36"/>
      <c r="I27" s="81"/>
      <c r="J27" s="81"/>
      <c r="K27" s="82"/>
      <c r="L27" s="82"/>
      <c r="M27" s="81"/>
      <c r="N27" s="81"/>
      <c r="O27" s="75"/>
      <c r="P27" s="75"/>
      <c r="Q27" s="81"/>
      <c r="R27" s="81"/>
      <c r="S27" s="81"/>
      <c r="T27" s="81"/>
      <c r="U27" s="81"/>
      <c r="V27" s="81"/>
      <c r="W27" s="148"/>
      <c r="X27" s="105" t="s">
        <v>55</v>
      </c>
      <c r="Y27" s="103" t="s">
        <v>57</v>
      </c>
      <c r="Z27" s="110">
        <f>Z26/Y26</f>
        <v>22.491334985073607</v>
      </c>
      <c r="AA27" s="109" t="s">
        <v>57</v>
      </c>
      <c r="AB27" s="110">
        <f>AB26/AA26</f>
        <v>14.36378227975286</v>
      </c>
      <c r="AC27" s="109" t="s">
        <v>57</v>
      </c>
      <c r="AD27" s="110">
        <f>AD26/AC26</f>
        <v>10.896044676419983</v>
      </c>
      <c r="AE27" s="109" t="s">
        <v>57</v>
      </c>
      <c r="AF27" s="110">
        <f>AF26/AE26</f>
        <v>8.4060757939578483</v>
      </c>
    </row>
    <row r="28" spans="1:32">
      <c r="A28" s="74"/>
      <c r="B28" s="87"/>
      <c r="C28" s="87"/>
      <c r="D28" s="87"/>
      <c r="E28" s="87"/>
      <c r="F28" s="147"/>
      <c r="G28" s="36"/>
      <c r="H28" s="36"/>
      <c r="I28" s="75"/>
      <c r="J28" s="75"/>
      <c r="K28" s="82"/>
      <c r="L28" s="82"/>
      <c r="M28" s="81"/>
      <c r="N28" s="81"/>
      <c r="O28" s="75"/>
      <c r="P28" s="75"/>
      <c r="Q28" s="81"/>
      <c r="R28" s="81"/>
      <c r="S28" s="81"/>
      <c r="T28" s="81"/>
      <c r="U28" s="81"/>
      <c r="V28" s="81"/>
      <c r="W28" s="148"/>
      <c r="X28" s="26"/>
      <c r="Y28" s="104" t="s">
        <v>58</v>
      </c>
      <c r="Z28" s="111">
        <f>Z26-Y26</f>
        <v>871379274.05339861</v>
      </c>
      <c r="AA28" s="105" t="s">
        <v>58</v>
      </c>
      <c r="AB28" s="111">
        <f>AB26-AA26</f>
        <v>518399789.83361101</v>
      </c>
      <c r="AC28" s="105" t="s">
        <v>58</v>
      </c>
      <c r="AD28" s="111">
        <f>AD26-AC26</f>
        <v>373036001.11662263</v>
      </c>
      <c r="AE28" s="105" t="s">
        <v>58</v>
      </c>
      <c r="AF28" s="111">
        <f>AF26-AE26</f>
        <v>271459333.91063786</v>
      </c>
    </row>
    <row r="29" spans="1:32" s="26" customFormat="1">
      <c r="A29" s="76"/>
      <c r="B29" s="88"/>
      <c r="C29" s="88"/>
      <c r="D29" s="88"/>
      <c r="E29" s="88"/>
      <c r="F29" s="87"/>
      <c r="G29" s="77"/>
      <c r="H29" s="77"/>
      <c r="I29" s="44"/>
      <c r="J29" s="44"/>
      <c r="K29" s="42"/>
      <c r="L29" s="42"/>
      <c r="M29" s="44"/>
      <c r="N29" s="44"/>
      <c r="O29" s="83"/>
      <c r="P29" s="83"/>
      <c r="Q29" s="44"/>
      <c r="R29" s="44"/>
      <c r="S29" s="83"/>
      <c r="T29" s="83"/>
      <c r="U29" s="41"/>
      <c r="V29" s="41"/>
      <c r="W29" s="149"/>
      <c r="Y29" s="41"/>
      <c r="Z29" s="41"/>
      <c r="AA29" s="41"/>
      <c r="AB29" s="41"/>
      <c r="AC29" s="41"/>
      <c r="AD29" s="41"/>
    </row>
    <row r="30" spans="1:32" s="26" customFormat="1">
      <c r="A30" s="76"/>
      <c r="B30" s="88"/>
      <c r="C30" s="88"/>
      <c r="D30" s="88"/>
      <c r="E30" s="88"/>
      <c r="F30" s="87"/>
      <c r="G30" s="78"/>
      <c r="H30" s="78"/>
      <c r="I30" s="44"/>
      <c r="J30" s="44"/>
      <c r="K30" s="83"/>
      <c r="L30" s="83"/>
      <c r="M30" s="44"/>
      <c r="N30" s="44"/>
      <c r="O30" s="83"/>
      <c r="P30" s="83"/>
      <c r="Q30" s="44"/>
      <c r="R30" s="44"/>
      <c r="S30" s="83"/>
      <c r="T30" s="83"/>
      <c r="U30" s="43"/>
      <c r="V30" s="43"/>
      <c r="X30" s="41"/>
      <c r="Y30" s="43"/>
      <c r="Z30" s="43"/>
      <c r="AA30" s="43"/>
      <c r="AB30" s="43"/>
      <c r="AC30" s="43"/>
      <c r="AD30" s="43"/>
      <c r="AE30" s="41"/>
      <c r="AF30" s="41"/>
    </row>
    <row r="31" spans="1:32" s="26" customFormat="1">
      <c r="A31" s="28"/>
      <c r="B31" s="86"/>
      <c r="C31" s="86"/>
      <c r="D31" s="86"/>
      <c r="E31" s="86"/>
      <c r="F31" s="88"/>
      <c r="G31" s="79"/>
      <c r="H31" s="79"/>
      <c r="I31" s="79"/>
      <c r="J31" s="79"/>
      <c r="K31" s="84"/>
      <c r="L31" s="84"/>
      <c r="M31" s="84"/>
      <c r="N31" s="84"/>
      <c r="O31" s="79"/>
      <c r="P31" s="79"/>
      <c r="Q31" s="79"/>
      <c r="R31" s="79"/>
      <c r="S31" s="84"/>
      <c r="T31" s="84"/>
      <c r="U31" s="8"/>
      <c r="V31" s="8"/>
      <c r="X31" s="43"/>
      <c r="Y31" s="8"/>
      <c r="Z31" s="8"/>
      <c r="AA31" s="8"/>
      <c r="AB31" s="8"/>
      <c r="AC31" s="8"/>
      <c r="AD31" s="8"/>
      <c r="AE31" s="43"/>
      <c r="AF31" s="43"/>
    </row>
    <row r="32" spans="1:32" s="41" customFormat="1">
      <c r="A32" s="8"/>
      <c r="B32" s="85"/>
      <c r="C32" s="85"/>
      <c r="D32" s="85"/>
      <c r="E32" s="85"/>
      <c r="F32" s="88"/>
      <c r="G32" s="9"/>
      <c r="H32" s="9"/>
      <c r="I32" s="8"/>
      <c r="J32" s="8"/>
      <c r="K32" s="8"/>
      <c r="L32" s="8"/>
      <c r="M32" s="8"/>
      <c r="N32" s="8"/>
      <c r="O32" s="8"/>
      <c r="P32" s="8"/>
      <c r="Q32" s="8"/>
      <c r="R32" s="8"/>
      <c r="S32" s="8"/>
      <c r="T32" s="8"/>
      <c r="U32" s="8"/>
      <c r="V32" s="8"/>
      <c r="X32" s="8"/>
      <c r="Y32" s="8"/>
      <c r="Z32" s="8"/>
      <c r="AA32" s="8"/>
      <c r="AB32" s="8"/>
      <c r="AC32" s="8"/>
      <c r="AD32" s="8"/>
      <c r="AE32" s="8"/>
      <c r="AF32" s="8"/>
    </row>
    <row r="33" spans="1:32" s="43" customFormat="1">
      <c r="A33" s="37"/>
      <c r="B33" s="89"/>
      <c r="C33" s="89"/>
      <c r="D33" s="89"/>
      <c r="E33" s="89"/>
      <c r="F33" s="86"/>
      <c r="G33" s="37"/>
      <c r="H33" s="37"/>
      <c r="I33" s="38"/>
      <c r="J33" s="38"/>
      <c r="K33" s="37"/>
      <c r="L33" s="37"/>
      <c r="M33" s="38"/>
      <c r="N33" s="38"/>
      <c r="O33" s="37"/>
      <c r="P33" s="37"/>
      <c r="Q33" s="38"/>
      <c r="R33" s="38"/>
      <c r="S33" s="38"/>
      <c r="T33" s="38"/>
      <c r="U33" s="37"/>
      <c r="V33" s="37"/>
      <c r="X33" s="8"/>
      <c r="Y33" s="37"/>
      <c r="Z33" s="37"/>
      <c r="AA33" s="37"/>
      <c r="AB33" s="37"/>
      <c r="AC33" s="37"/>
      <c r="AD33" s="37"/>
      <c r="AE33" s="8"/>
      <c r="AF33" s="8"/>
    </row>
    <row r="34" spans="1:32">
      <c r="I34" s="39"/>
      <c r="J34" s="39"/>
      <c r="M34" s="39"/>
      <c r="N34" s="39"/>
      <c r="Q34" s="39"/>
      <c r="R34" s="39"/>
      <c r="X34" s="37"/>
      <c r="AE34" s="37"/>
      <c r="AF34" s="37"/>
    </row>
    <row r="35" spans="1:32">
      <c r="F35" s="89"/>
    </row>
    <row r="36" spans="1:32" s="37" customFormat="1">
      <c r="A36" s="47"/>
      <c r="B36" s="90"/>
      <c r="C36" s="90"/>
      <c r="D36" s="90"/>
      <c r="E36" s="90"/>
      <c r="F36" s="85"/>
      <c r="G36" s="49"/>
      <c r="H36" s="49"/>
      <c r="I36" s="47"/>
      <c r="J36" s="47"/>
      <c r="K36" s="51"/>
      <c r="L36" s="51"/>
      <c r="M36" s="47"/>
      <c r="N36" s="47"/>
      <c r="O36" s="47"/>
      <c r="P36" s="47"/>
      <c r="Q36" s="47"/>
      <c r="R36" s="47"/>
      <c r="S36" s="47"/>
      <c r="T36" s="47"/>
      <c r="U36" s="47"/>
      <c r="V36" s="47"/>
      <c r="X36" s="8"/>
      <c r="Y36" s="47"/>
      <c r="Z36" s="47"/>
      <c r="AA36" s="47"/>
      <c r="AB36" s="47"/>
      <c r="AC36" s="47"/>
      <c r="AD36" s="47"/>
      <c r="AE36" s="8"/>
      <c r="AF36" s="8"/>
    </row>
    <row r="37" spans="1:32">
      <c r="A37" s="45"/>
      <c r="B37" s="91"/>
      <c r="C37" s="91"/>
      <c r="D37" s="91"/>
      <c r="E37" s="91"/>
      <c r="G37" s="50"/>
      <c r="H37" s="50"/>
      <c r="I37" s="45"/>
      <c r="J37" s="45"/>
      <c r="K37" s="52"/>
      <c r="L37" s="52"/>
      <c r="M37" s="45"/>
      <c r="N37" s="45"/>
      <c r="O37" s="45"/>
      <c r="P37" s="45"/>
      <c r="Q37" s="45"/>
      <c r="R37" s="45"/>
      <c r="S37" s="45"/>
      <c r="T37" s="45"/>
      <c r="U37" s="45"/>
      <c r="V37" s="45"/>
      <c r="X37" s="47"/>
      <c r="Y37" s="45"/>
      <c r="Z37" s="45"/>
      <c r="AA37" s="45"/>
      <c r="AB37" s="45"/>
      <c r="AC37" s="45"/>
      <c r="AD37" s="45"/>
      <c r="AE37" s="47"/>
      <c r="AF37" s="47"/>
    </row>
    <row r="38" spans="1:32">
      <c r="A38" s="45"/>
      <c r="B38" s="91"/>
      <c r="C38" s="91"/>
      <c r="D38" s="91"/>
      <c r="E38" s="91"/>
      <c r="F38" s="90"/>
      <c r="G38" s="50"/>
      <c r="H38" s="50"/>
      <c r="I38" s="45"/>
      <c r="J38" s="45"/>
      <c r="K38" s="45"/>
      <c r="L38" s="45"/>
      <c r="M38" s="45"/>
      <c r="N38" s="45"/>
      <c r="O38" s="45"/>
      <c r="P38" s="45"/>
      <c r="Q38" s="45"/>
      <c r="R38" s="45"/>
      <c r="S38" s="45"/>
      <c r="T38" s="45"/>
      <c r="U38" s="45"/>
      <c r="V38" s="45"/>
      <c r="X38" s="45"/>
      <c r="Y38" s="45"/>
      <c r="Z38" s="45"/>
      <c r="AA38" s="45"/>
      <c r="AB38" s="45"/>
      <c r="AC38" s="45"/>
      <c r="AD38" s="45"/>
      <c r="AE38" s="45"/>
      <c r="AF38" s="45"/>
    </row>
    <row r="39" spans="1:32" s="47" customFormat="1">
      <c r="A39" s="8"/>
      <c r="B39" s="85"/>
      <c r="C39" s="85"/>
      <c r="D39" s="85"/>
      <c r="E39" s="85"/>
      <c r="F39" s="91"/>
      <c r="G39" s="9"/>
      <c r="H39" s="9"/>
      <c r="I39" s="8"/>
      <c r="J39" s="8"/>
      <c r="K39" s="8"/>
      <c r="L39" s="8"/>
      <c r="M39" s="34"/>
      <c r="N39" s="34"/>
      <c r="O39" s="8"/>
      <c r="P39" s="8"/>
      <c r="Q39" s="8"/>
      <c r="R39" s="8"/>
      <c r="S39" s="8"/>
      <c r="T39" s="8"/>
      <c r="U39" s="8"/>
      <c r="V39" s="8"/>
      <c r="X39" s="45"/>
      <c r="Y39" s="8"/>
      <c r="Z39" s="8"/>
      <c r="AA39" s="8"/>
      <c r="AB39" s="8"/>
      <c r="AC39" s="8"/>
      <c r="AD39" s="8"/>
      <c r="AE39" s="45"/>
      <c r="AF39" s="45"/>
    </row>
    <row r="40" spans="1:32" s="45" customFormat="1">
      <c r="A40" s="8"/>
      <c r="B40" s="85"/>
      <c r="C40" s="85"/>
      <c r="D40" s="85"/>
      <c r="E40" s="85"/>
      <c r="F40" s="91"/>
      <c r="G40" s="9"/>
      <c r="H40" s="9"/>
      <c r="I40" s="8"/>
      <c r="J40" s="8"/>
      <c r="K40" s="8"/>
      <c r="L40" s="8"/>
      <c r="M40" s="8"/>
      <c r="N40" s="8"/>
      <c r="O40" s="8"/>
      <c r="P40" s="8"/>
      <c r="Q40" s="8"/>
      <c r="R40" s="8"/>
      <c r="S40" s="8"/>
      <c r="T40" s="8"/>
      <c r="U40" s="8"/>
      <c r="V40" s="8"/>
      <c r="X40" s="8"/>
      <c r="Y40" s="8"/>
      <c r="Z40" s="8"/>
      <c r="AA40" s="8"/>
      <c r="AB40" s="8"/>
      <c r="AC40" s="8"/>
      <c r="AD40" s="8"/>
      <c r="AE40" s="8"/>
      <c r="AF40" s="8"/>
    </row>
    <row r="41" spans="1:32" s="45" customFormat="1">
      <c r="A41" s="8"/>
      <c r="B41" s="85"/>
      <c r="C41" s="85"/>
      <c r="D41" s="85"/>
      <c r="E41" s="85"/>
      <c r="F41" s="85"/>
      <c r="G41" s="9"/>
      <c r="H41" s="9"/>
      <c r="I41" s="8"/>
      <c r="J41" s="8"/>
      <c r="K41" s="8"/>
      <c r="L41" s="8"/>
      <c r="M41" s="8"/>
      <c r="N41" s="8"/>
      <c r="O41" s="8"/>
      <c r="P41" s="8"/>
      <c r="Q41" s="8"/>
      <c r="R41" s="8"/>
      <c r="S41" s="8"/>
      <c r="T41" s="8"/>
      <c r="U41" s="8"/>
      <c r="V41" s="8"/>
      <c r="X41" s="8"/>
      <c r="Y41" s="8"/>
      <c r="Z41" s="8"/>
      <c r="AA41" s="8"/>
      <c r="AB41" s="8"/>
      <c r="AC41" s="8"/>
      <c r="AD41" s="8"/>
      <c r="AE41" s="8"/>
      <c r="AF41" s="8"/>
    </row>
  </sheetData>
  <mergeCells count="12">
    <mergeCell ref="B1:D1"/>
    <mergeCell ref="Y2:Z2"/>
    <mergeCell ref="AC2:AD2"/>
    <mergeCell ref="B2:E2"/>
    <mergeCell ref="AE2:AF2"/>
    <mergeCell ref="AA2:AB2"/>
    <mergeCell ref="G1:U1"/>
    <mergeCell ref="X1:AF1"/>
    <mergeCell ref="G2:J2"/>
    <mergeCell ref="K2:N2"/>
    <mergeCell ref="O2:R2"/>
    <mergeCell ref="S2:V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workbookViewId="0">
      <selection activeCell="H7" sqref="H7"/>
    </sheetView>
  </sheetViews>
  <sheetFormatPr defaultRowHeight="14.4"/>
  <cols>
    <col min="1" max="1" width="6.77734375" bestFit="1" customWidth="1"/>
    <col min="2" max="2" width="6.5546875" style="1" customWidth="1"/>
    <col min="3" max="3" width="8.77734375" style="1" customWidth="1"/>
    <col min="4" max="4" width="12.77734375" customWidth="1"/>
    <col min="5" max="5" width="12.21875" style="1" customWidth="1"/>
    <col min="10" max="10" width="9.21875" style="1"/>
  </cols>
  <sheetData>
    <row r="1" spans="1:14">
      <c r="A1" s="60" t="s">
        <v>33</v>
      </c>
      <c r="B1" s="60"/>
      <c r="C1" s="60"/>
      <c r="E1" s="59">
        <f>'Inputs and Results'!C7</f>
        <v>2021</v>
      </c>
      <c r="F1" t="s">
        <v>24</v>
      </c>
      <c r="L1" s="26" t="s">
        <v>79</v>
      </c>
    </row>
    <row r="2" spans="1:14">
      <c r="A2" s="1"/>
      <c r="B2" s="3" t="s">
        <v>5</v>
      </c>
      <c r="C2" s="173">
        <f>IF('Inputs and Results'!C12&gt;0,'Inputs and Results'!C12,'Inputs and Results'!C11)/1000000</f>
        <v>40.545609412286311</v>
      </c>
      <c r="E2" s="59">
        <f>'Inputs and Results'!C8</f>
        <v>2023</v>
      </c>
      <c r="F2" s="1" t="str">
        <f>'Travel Impacts'!C3</f>
        <v>Operation Start Year</v>
      </c>
      <c r="L2" s="158">
        <v>2019</v>
      </c>
      <c r="M2" s="158">
        <v>2017</v>
      </c>
    </row>
    <row r="3" spans="1:14" s="1" customFormat="1">
      <c r="B3" s="23"/>
      <c r="C3" s="21"/>
      <c r="E3" s="59">
        <f>'Inputs and Results'!C9</f>
        <v>2020</v>
      </c>
      <c r="F3" t="s">
        <v>25</v>
      </c>
      <c r="L3" s="156">
        <v>111.36799999999999</v>
      </c>
      <c r="M3" s="156">
        <v>107.27500000000001</v>
      </c>
    </row>
    <row r="4" spans="1:14">
      <c r="L4" s="157">
        <f>L3/M3</f>
        <v>1.0381542763924492</v>
      </c>
      <c r="M4" s="157">
        <f>(M3/L3)</f>
        <v>0.96324797069176071</v>
      </c>
      <c r="N4" s="159"/>
    </row>
    <row r="5" spans="1:14" s="20" customFormat="1">
      <c r="C5" s="53">
        <v>0.03</v>
      </c>
      <c r="D5" s="443" t="s">
        <v>23</v>
      </c>
      <c r="E5" s="443"/>
      <c r="G5" s="443" t="s">
        <v>61</v>
      </c>
      <c r="H5" s="443"/>
      <c r="I5" s="443"/>
      <c r="L5" s="112" t="s">
        <v>80</v>
      </c>
    </row>
    <row r="6" spans="1:14" s="20" customFormat="1">
      <c r="C6" s="53"/>
      <c r="D6" s="20" t="s">
        <v>17</v>
      </c>
      <c r="E6" s="20" t="s">
        <v>26</v>
      </c>
      <c r="G6" s="180" t="s">
        <v>53</v>
      </c>
      <c r="H6" s="341">
        <v>0.03</v>
      </c>
      <c r="I6" s="341">
        <v>0.05</v>
      </c>
      <c r="J6" s="341">
        <v>7.0000000000000007E-2</v>
      </c>
    </row>
    <row r="7" spans="1:14">
      <c r="A7">
        <f>E1</f>
        <v>2021</v>
      </c>
      <c r="B7" s="1">
        <f>A7-E3</f>
        <v>1</v>
      </c>
      <c r="C7" s="13">
        <f>(1/(1+$C$5)^B7)</f>
        <v>0.970873786407767</v>
      </c>
      <c r="D7" s="54">
        <f>((C2)/(E2-E1))</f>
        <v>20.272804706143155</v>
      </c>
      <c r="E7" s="54">
        <f>D7*C7</f>
        <v>19.682334666158404</v>
      </c>
      <c r="G7">
        <f>B7</f>
        <v>1</v>
      </c>
      <c r="H7" s="73">
        <f t="shared" ref="H7:H37" si="0">(1/(1+$H$6)^G7)</f>
        <v>0.970873786407767</v>
      </c>
      <c r="I7" s="73">
        <f t="shared" ref="I7:I37" si="1">(1/(1+$I$6)^G7)</f>
        <v>0.95238095238095233</v>
      </c>
      <c r="J7" s="73">
        <f>(1/(1+$J$6)^G7)</f>
        <v>0.93457943925233644</v>
      </c>
    </row>
    <row r="8" spans="1:14">
      <c r="A8">
        <f>A7+1</f>
        <v>2022</v>
      </c>
      <c r="B8" s="1">
        <f>B7+1</f>
        <v>2</v>
      </c>
      <c r="C8" s="13">
        <f t="shared" ref="C8:C46" si="2">(1/(1+$C$5)^B8)</f>
        <v>0.94259590913375435</v>
      </c>
      <c r="D8" s="54">
        <f t="shared" ref="D8:D46" si="3">IF(A8&lt;$E$2,D7,0)</f>
        <v>20.272804706143155</v>
      </c>
      <c r="E8" s="54">
        <f t="shared" ref="E8:E39" si="4">D8*C8</f>
        <v>19.109062782678063</v>
      </c>
      <c r="G8" s="1">
        <f t="shared" ref="G8:G41" si="5">B8</f>
        <v>2</v>
      </c>
      <c r="H8" s="73">
        <f t="shared" si="0"/>
        <v>0.94259590913375435</v>
      </c>
      <c r="I8" s="73">
        <f t="shared" si="1"/>
        <v>0.90702947845804982</v>
      </c>
      <c r="J8" s="73">
        <f t="shared" ref="J8:J41" si="6">(1/(1+$J$6)^G8)</f>
        <v>0.87343872827321156</v>
      </c>
    </row>
    <row r="9" spans="1:14">
      <c r="A9" s="1">
        <f t="shared" ref="A9:A35" si="7">A8+1</f>
        <v>2023</v>
      </c>
      <c r="B9" s="1">
        <f t="shared" ref="B9:B39" si="8">B8+1</f>
        <v>3</v>
      </c>
      <c r="C9" s="13">
        <f t="shared" si="2"/>
        <v>0.91514165935315961</v>
      </c>
      <c r="D9" s="54">
        <f t="shared" si="3"/>
        <v>0</v>
      </c>
      <c r="E9" s="54">
        <f t="shared" si="4"/>
        <v>0</v>
      </c>
      <c r="G9" s="1">
        <f t="shared" si="5"/>
        <v>3</v>
      </c>
      <c r="H9" s="73">
        <f t="shared" si="0"/>
        <v>0.91514165935315961</v>
      </c>
      <c r="I9" s="73">
        <f t="shared" si="1"/>
        <v>0.86383759853147601</v>
      </c>
      <c r="J9" s="73">
        <f t="shared" si="6"/>
        <v>0.81629787689085187</v>
      </c>
    </row>
    <row r="10" spans="1:14">
      <c r="A10" s="1">
        <f t="shared" si="7"/>
        <v>2024</v>
      </c>
      <c r="B10" s="1">
        <f t="shared" si="8"/>
        <v>4</v>
      </c>
      <c r="C10" s="13">
        <f t="shared" si="2"/>
        <v>0.888487047915689</v>
      </c>
      <c r="D10" s="54">
        <f t="shared" si="3"/>
        <v>0</v>
      </c>
      <c r="E10" s="54">
        <f t="shared" si="4"/>
        <v>0</v>
      </c>
      <c r="G10" s="1">
        <f t="shared" si="5"/>
        <v>4</v>
      </c>
      <c r="H10" s="73">
        <f t="shared" si="0"/>
        <v>0.888487047915689</v>
      </c>
      <c r="I10" s="73">
        <f t="shared" si="1"/>
        <v>0.82270247479188197</v>
      </c>
      <c r="J10" s="73">
        <f t="shared" si="6"/>
        <v>0.7628952120475252</v>
      </c>
    </row>
    <row r="11" spans="1:14">
      <c r="A11" s="1">
        <f t="shared" si="7"/>
        <v>2025</v>
      </c>
      <c r="B11" s="1">
        <f t="shared" si="8"/>
        <v>5</v>
      </c>
      <c r="C11" s="13">
        <f t="shared" si="2"/>
        <v>0.86260878438416411</v>
      </c>
      <c r="D11" s="54">
        <f t="shared" si="3"/>
        <v>0</v>
      </c>
      <c r="E11" s="54">
        <f t="shared" si="4"/>
        <v>0</v>
      </c>
      <c r="G11" s="1">
        <f t="shared" si="5"/>
        <v>5</v>
      </c>
      <c r="H11" s="73">
        <f t="shared" si="0"/>
        <v>0.86260878438416411</v>
      </c>
      <c r="I11" s="73">
        <f t="shared" si="1"/>
        <v>0.78352616646845896</v>
      </c>
      <c r="J11" s="73">
        <f t="shared" si="6"/>
        <v>0.71298617948366838</v>
      </c>
    </row>
    <row r="12" spans="1:14">
      <c r="A12" s="1">
        <f t="shared" si="7"/>
        <v>2026</v>
      </c>
      <c r="B12" s="1">
        <f t="shared" si="8"/>
        <v>6</v>
      </c>
      <c r="C12" s="13">
        <f t="shared" si="2"/>
        <v>0.83748425668365445</v>
      </c>
      <c r="D12" s="54">
        <f t="shared" si="3"/>
        <v>0</v>
      </c>
      <c r="E12" s="54">
        <f t="shared" si="4"/>
        <v>0</v>
      </c>
      <c r="G12" s="1">
        <f t="shared" si="5"/>
        <v>6</v>
      </c>
      <c r="H12" s="73">
        <f t="shared" si="0"/>
        <v>0.83748425668365445</v>
      </c>
      <c r="I12" s="73">
        <f t="shared" si="1"/>
        <v>0.74621539663662761</v>
      </c>
      <c r="J12" s="73">
        <f t="shared" si="6"/>
        <v>0.66634222381651254</v>
      </c>
    </row>
    <row r="13" spans="1:14">
      <c r="A13" s="1">
        <f t="shared" si="7"/>
        <v>2027</v>
      </c>
      <c r="B13" s="1">
        <f t="shared" si="8"/>
        <v>7</v>
      </c>
      <c r="C13" s="13">
        <f t="shared" si="2"/>
        <v>0.81309151134335378</v>
      </c>
      <c r="D13" s="54">
        <f t="shared" si="3"/>
        <v>0</v>
      </c>
      <c r="E13" s="54">
        <f t="shared" si="4"/>
        <v>0</v>
      </c>
      <c r="G13" s="1">
        <f t="shared" si="5"/>
        <v>7</v>
      </c>
      <c r="H13" s="73">
        <f t="shared" si="0"/>
        <v>0.81309151134335378</v>
      </c>
      <c r="I13" s="73">
        <f t="shared" si="1"/>
        <v>0.71068133013012147</v>
      </c>
      <c r="J13" s="73">
        <f t="shared" si="6"/>
        <v>0.62274974188459109</v>
      </c>
    </row>
    <row r="14" spans="1:14">
      <c r="A14" s="1">
        <f t="shared" si="7"/>
        <v>2028</v>
      </c>
      <c r="B14" s="1">
        <f t="shared" si="8"/>
        <v>8</v>
      </c>
      <c r="C14" s="13">
        <f t="shared" si="2"/>
        <v>0.78940923431393573</v>
      </c>
      <c r="D14" s="54">
        <f t="shared" si="3"/>
        <v>0</v>
      </c>
      <c r="E14" s="54">
        <f t="shared" si="4"/>
        <v>0</v>
      </c>
      <c r="G14" s="1">
        <f t="shared" si="5"/>
        <v>8</v>
      </c>
      <c r="H14" s="73">
        <f t="shared" si="0"/>
        <v>0.78940923431393573</v>
      </c>
      <c r="I14" s="73">
        <f t="shared" si="1"/>
        <v>0.67683936202868722</v>
      </c>
      <c r="J14" s="73">
        <f t="shared" si="6"/>
        <v>0.5820091045650384</v>
      </c>
    </row>
    <row r="15" spans="1:14">
      <c r="A15" s="1">
        <f t="shared" si="7"/>
        <v>2029</v>
      </c>
      <c r="B15" s="1">
        <f t="shared" si="8"/>
        <v>9</v>
      </c>
      <c r="C15" s="13">
        <f t="shared" si="2"/>
        <v>0.76641673234362695</v>
      </c>
      <c r="D15" s="54">
        <f t="shared" si="3"/>
        <v>0</v>
      </c>
      <c r="E15" s="54">
        <f t="shared" si="4"/>
        <v>0</v>
      </c>
      <c r="G15" s="1">
        <f t="shared" si="5"/>
        <v>9</v>
      </c>
      <c r="H15" s="73">
        <f t="shared" si="0"/>
        <v>0.76641673234362695</v>
      </c>
      <c r="I15" s="73">
        <f t="shared" si="1"/>
        <v>0.64460891621779726</v>
      </c>
      <c r="J15" s="73">
        <f t="shared" si="6"/>
        <v>0.54393374258414806</v>
      </c>
    </row>
    <row r="16" spans="1:14">
      <c r="A16" s="1">
        <f t="shared" si="7"/>
        <v>2030</v>
      </c>
      <c r="B16" s="1">
        <f t="shared" si="8"/>
        <v>10</v>
      </c>
      <c r="C16" s="13">
        <f t="shared" si="2"/>
        <v>0.74409391489672516</v>
      </c>
      <c r="D16" s="54">
        <f t="shared" si="3"/>
        <v>0</v>
      </c>
      <c r="E16" s="54">
        <f t="shared" si="4"/>
        <v>0</v>
      </c>
      <c r="G16" s="1">
        <f t="shared" si="5"/>
        <v>10</v>
      </c>
      <c r="H16" s="73">
        <f t="shared" si="0"/>
        <v>0.74409391489672516</v>
      </c>
      <c r="I16" s="73">
        <f t="shared" si="1"/>
        <v>0.61391325354075932</v>
      </c>
      <c r="J16" s="73">
        <f t="shared" si="6"/>
        <v>0.5083492921347178</v>
      </c>
    </row>
    <row r="17" spans="1:10">
      <c r="A17" s="1">
        <f t="shared" si="7"/>
        <v>2031</v>
      </c>
      <c r="B17" s="1">
        <f t="shared" si="8"/>
        <v>11</v>
      </c>
      <c r="C17" s="13">
        <f t="shared" si="2"/>
        <v>0.72242127659876232</v>
      </c>
      <c r="D17" s="54">
        <f t="shared" si="3"/>
        <v>0</v>
      </c>
      <c r="E17" s="54">
        <f t="shared" si="4"/>
        <v>0</v>
      </c>
      <c r="G17" s="1">
        <f t="shared" si="5"/>
        <v>11</v>
      </c>
      <c r="H17" s="73">
        <f t="shared" si="0"/>
        <v>0.72242127659876232</v>
      </c>
      <c r="I17" s="73">
        <f t="shared" si="1"/>
        <v>0.5846792890864374</v>
      </c>
      <c r="J17" s="73">
        <f t="shared" si="6"/>
        <v>0.47509279638758667</v>
      </c>
    </row>
    <row r="18" spans="1:10">
      <c r="A18" s="1">
        <f t="shared" si="7"/>
        <v>2032</v>
      </c>
      <c r="B18" s="1">
        <f t="shared" si="8"/>
        <v>12</v>
      </c>
      <c r="C18" s="13">
        <f t="shared" si="2"/>
        <v>0.70137988019297326</v>
      </c>
      <c r="D18" s="54">
        <f t="shared" si="3"/>
        <v>0</v>
      </c>
      <c r="E18" s="54">
        <f t="shared" si="4"/>
        <v>0</v>
      </c>
      <c r="G18" s="1">
        <f t="shared" si="5"/>
        <v>12</v>
      </c>
      <c r="H18" s="73">
        <f t="shared" si="0"/>
        <v>0.70137988019297326</v>
      </c>
      <c r="I18" s="73">
        <f t="shared" si="1"/>
        <v>0.5568374181775595</v>
      </c>
      <c r="J18" s="73">
        <f t="shared" si="6"/>
        <v>0.44401195924073528</v>
      </c>
    </row>
    <row r="19" spans="1:10">
      <c r="A19" s="1">
        <f t="shared" si="7"/>
        <v>2033</v>
      </c>
      <c r="B19" s="1">
        <f t="shared" si="8"/>
        <v>13</v>
      </c>
      <c r="C19" s="13">
        <f t="shared" si="2"/>
        <v>0.68095133999317792</v>
      </c>
      <c r="D19" s="54">
        <f t="shared" si="3"/>
        <v>0</v>
      </c>
      <c r="E19" s="54">
        <f t="shared" si="4"/>
        <v>0</v>
      </c>
      <c r="G19" s="1">
        <f t="shared" si="5"/>
        <v>13</v>
      </c>
      <c r="H19" s="73">
        <f t="shared" si="0"/>
        <v>0.68095133999317792</v>
      </c>
      <c r="I19" s="73">
        <f t="shared" si="1"/>
        <v>0.53032135064529462</v>
      </c>
      <c r="J19" s="73">
        <f t="shared" si="6"/>
        <v>0.41496444788853759</v>
      </c>
    </row>
    <row r="20" spans="1:10">
      <c r="A20" s="1">
        <f t="shared" si="7"/>
        <v>2034</v>
      </c>
      <c r="B20" s="1">
        <f t="shared" si="8"/>
        <v>14</v>
      </c>
      <c r="C20" s="13">
        <f t="shared" si="2"/>
        <v>0.66111780581861923</v>
      </c>
      <c r="D20" s="54">
        <f t="shared" si="3"/>
        <v>0</v>
      </c>
      <c r="E20" s="54">
        <f t="shared" si="4"/>
        <v>0</v>
      </c>
      <c r="G20" s="1">
        <f t="shared" si="5"/>
        <v>14</v>
      </c>
      <c r="H20" s="73">
        <f t="shared" si="0"/>
        <v>0.66111780581861923</v>
      </c>
      <c r="I20" s="73">
        <f t="shared" si="1"/>
        <v>0.50506795299551888</v>
      </c>
      <c r="J20" s="73">
        <f t="shared" si="6"/>
        <v>0.3878172410173249</v>
      </c>
    </row>
    <row r="21" spans="1:10">
      <c r="A21" s="1">
        <f t="shared" si="7"/>
        <v>2035</v>
      </c>
      <c r="B21" s="1">
        <f t="shared" si="8"/>
        <v>15</v>
      </c>
      <c r="C21" s="13">
        <f t="shared" si="2"/>
        <v>0.64186194739671765</v>
      </c>
      <c r="D21" s="54">
        <f t="shared" si="3"/>
        <v>0</v>
      </c>
      <c r="E21" s="54">
        <f t="shared" si="4"/>
        <v>0</v>
      </c>
      <c r="G21" s="1">
        <f t="shared" si="5"/>
        <v>15</v>
      </c>
      <c r="H21" s="73">
        <f t="shared" si="0"/>
        <v>0.64186194739671765</v>
      </c>
      <c r="I21" s="73">
        <f t="shared" si="1"/>
        <v>0.48101709809097021</v>
      </c>
      <c r="J21" s="73">
        <f t="shared" si="6"/>
        <v>0.36244601964235967</v>
      </c>
    </row>
    <row r="22" spans="1:10">
      <c r="A22" s="1">
        <f t="shared" si="7"/>
        <v>2036</v>
      </c>
      <c r="B22" s="1">
        <f t="shared" si="8"/>
        <v>16</v>
      </c>
      <c r="C22" s="13">
        <f t="shared" si="2"/>
        <v>0.62316693922011435</v>
      </c>
      <c r="D22" s="54">
        <f t="shared" si="3"/>
        <v>0</v>
      </c>
      <c r="E22" s="54">
        <f t="shared" si="4"/>
        <v>0</v>
      </c>
      <c r="G22" s="1">
        <f t="shared" si="5"/>
        <v>16</v>
      </c>
      <c r="H22" s="73">
        <f t="shared" si="0"/>
        <v>0.62316693922011435</v>
      </c>
      <c r="I22" s="73">
        <f t="shared" si="1"/>
        <v>0.45811152199140021</v>
      </c>
      <c r="J22" s="73">
        <f t="shared" si="6"/>
        <v>0.33873459779659787</v>
      </c>
    </row>
    <row r="23" spans="1:10">
      <c r="A23" s="1">
        <f t="shared" si="7"/>
        <v>2037</v>
      </c>
      <c r="B23" s="1">
        <f t="shared" si="8"/>
        <v>17</v>
      </c>
      <c r="C23" s="13">
        <f t="shared" si="2"/>
        <v>0.60501644584477121</v>
      </c>
      <c r="D23" s="54">
        <f t="shared" si="3"/>
        <v>0</v>
      </c>
      <c r="E23" s="54">
        <f t="shared" si="4"/>
        <v>0</v>
      </c>
      <c r="G23" s="1">
        <f t="shared" si="5"/>
        <v>17</v>
      </c>
      <c r="H23" s="73">
        <f t="shared" si="0"/>
        <v>0.60501644584477121</v>
      </c>
      <c r="I23" s="73">
        <f t="shared" si="1"/>
        <v>0.43629668761085727</v>
      </c>
      <c r="J23" s="73">
        <f t="shared" si="6"/>
        <v>0.31657439046411018</v>
      </c>
    </row>
    <row r="24" spans="1:10">
      <c r="A24" s="1">
        <f t="shared" si="7"/>
        <v>2038</v>
      </c>
      <c r="B24" s="1">
        <f t="shared" si="8"/>
        <v>18</v>
      </c>
      <c r="C24" s="13">
        <f t="shared" si="2"/>
        <v>0.5873946076162827</v>
      </c>
      <c r="D24" s="54">
        <f t="shared" si="3"/>
        <v>0</v>
      </c>
      <c r="E24" s="54">
        <f t="shared" si="4"/>
        <v>0</v>
      </c>
      <c r="G24" s="1">
        <f t="shared" si="5"/>
        <v>18</v>
      </c>
      <c r="H24" s="73">
        <f t="shared" si="0"/>
        <v>0.5873946076162827</v>
      </c>
      <c r="I24" s="73">
        <f t="shared" si="1"/>
        <v>0.41552065486748313</v>
      </c>
      <c r="J24" s="73">
        <f t="shared" si="6"/>
        <v>0.29586391632159825</v>
      </c>
    </row>
    <row r="25" spans="1:10">
      <c r="A25" s="1">
        <f t="shared" si="7"/>
        <v>2039</v>
      </c>
      <c r="B25" s="1">
        <f t="shared" si="8"/>
        <v>19</v>
      </c>
      <c r="C25" s="13">
        <f t="shared" si="2"/>
        <v>0.57028602681192497</v>
      </c>
      <c r="D25" s="54">
        <f t="shared" si="3"/>
        <v>0</v>
      </c>
      <c r="E25" s="54">
        <f t="shared" si="4"/>
        <v>0</v>
      </c>
      <c r="G25" s="1">
        <f t="shared" si="5"/>
        <v>19</v>
      </c>
      <c r="H25" s="73">
        <f t="shared" si="0"/>
        <v>0.57028602681192497</v>
      </c>
      <c r="I25" s="73">
        <f t="shared" si="1"/>
        <v>0.39573395701665059</v>
      </c>
      <c r="J25" s="73">
        <f t="shared" si="6"/>
        <v>0.27650833301083949</v>
      </c>
    </row>
    <row r="26" spans="1:10">
      <c r="A26" s="1">
        <f t="shared" si="7"/>
        <v>2040</v>
      </c>
      <c r="B26" s="1">
        <f t="shared" si="8"/>
        <v>20</v>
      </c>
      <c r="C26" s="13">
        <f t="shared" si="2"/>
        <v>0.55367575418633497</v>
      </c>
      <c r="D26" s="54">
        <f t="shared" si="3"/>
        <v>0</v>
      </c>
      <c r="E26" s="54">
        <f t="shared" si="4"/>
        <v>0</v>
      </c>
      <c r="G26" s="1">
        <f t="shared" si="5"/>
        <v>20</v>
      </c>
      <c r="H26" s="73">
        <f t="shared" si="0"/>
        <v>0.55367575418633497</v>
      </c>
      <c r="I26" s="73">
        <f t="shared" si="1"/>
        <v>0.37688948287300061</v>
      </c>
      <c r="J26" s="73">
        <f t="shared" si="6"/>
        <v>0.2584190028138687</v>
      </c>
    </row>
    <row r="27" spans="1:10">
      <c r="A27" s="1">
        <f t="shared" si="7"/>
        <v>2041</v>
      </c>
      <c r="B27" s="1">
        <f t="shared" si="8"/>
        <v>21</v>
      </c>
      <c r="C27" s="13">
        <f t="shared" si="2"/>
        <v>0.5375492759090631</v>
      </c>
      <c r="D27" s="54">
        <f t="shared" si="3"/>
        <v>0</v>
      </c>
      <c r="E27" s="54">
        <f t="shared" si="4"/>
        <v>0</v>
      </c>
      <c r="G27" s="1">
        <f t="shared" si="5"/>
        <v>21</v>
      </c>
      <c r="H27" s="73">
        <f t="shared" si="0"/>
        <v>0.5375492759090631</v>
      </c>
      <c r="I27" s="73">
        <f t="shared" si="1"/>
        <v>0.35894236464095297</v>
      </c>
      <c r="J27" s="73">
        <f t="shared" si="6"/>
        <v>0.24151308674193336</v>
      </c>
    </row>
    <row r="28" spans="1:10">
      <c r="A28" s="1">
        <f t="shared" si="7"/>
        <v>2042</v>
      </c>
      <c r="B28" s="1">
        <f t="shared" si="8"/>
        <v>22</v>
      </c>
      <c r="C28" s="13">
        <f t="shared" si="2"/>
        <v>0.52189250088258554</v>
      </c>
      <c r="D28" s="54">
        <f t="shared" si="3"/>
        <v>0</v>
      </c>
      <c r="E28" s="54">
        <f t="shared" si="4"/>
        <v>0</v>
      </c>
      <c r="G28" s="1">
        <f t="shared" si="5"/>
        <v>22</v>
      </c>
      <c r="H28" s="73">
        <f t="shared" si="0"/>
        <v>0.52189250088258554</v>
      </c>
      <c r="I28" s="73">
        <f t="shared" si="1"/>
        <v>0.3418498710866219</v>
      </c>
      <c r="J28" s="73">
        <f t="shared" si="6"/>
        <v>0.22571316517937698</v>
      </c>
    </row>
    <row r="29" spans="1:10">
      <c r="A29" s="1">
        <f t="shared" si="7"/>
        <v>2043</v>
      </c>
      <c r="B29" s="1">
        <f t="shared" si="8"/>
        <v>23</v>
      </c>
      <c r="C29" s="13">
        <f t="shared" si="2"/>
        <v>0.50669174842969467</v>
      </c>
      <c r="D29" s="54">
        <f t="shared" si="3"/>
        <v>0</v>
      </c>
      <c r="E29" s="54">
        <f t="shared" si="4"/>
        <v>0</v>
      </c>
      <c r="G29" s="1">
        <f t="shared" si="5"/>
        <v>23</v>
      </c>
      <c r="H29" s="73">
        <f t="shared" si="0"/>
        <v>0.50669174842969467</v>
      </c>
      <c r="I29" s="73">
        <f t="shared" si="1"/>
        <v>0.32557130579678267</v>
      </c>
      <c r="J29" s="73">
        <f t="shared" si="6"/>
        <v>0.21094688334521211</v>
      </c>
    </row>
    <row r="30" spans="1:10">
      <c r="A30" s="1">
        <f t="shared" si="7"/>
        <v>2044</v>
      </c>
      <c r="B30" s="1">
        <f t="shared" si="8"/>
        <v>24</v>
      </c>
      <c r="C30" s="13">
        <f t="shared" si="2"/>
        <v>0.49193373633950943</v>
      </c>
      <c r="D30" s="54">
        <f t="shared" si="3"/>
        <v>0</v>
      </c>
      <c r="E30" s="54">
        <f t="shared" si="4"/>
        <v>0</v>
      </c>
      <c r="G30" s="1">
        <f t="shared" si="5"/>
        <v>24</v>
      </c>
      <c r="H30" s="73">
        <f t="shared" si="0"/>
        <v>0.49193373633950943</v>
      </c>
      <c r="I30" s="73">
        <f t="shared" si="1"/>
        <v>0.31006791028265024</v>
      </c>
      <c r="J30" s="73">
        <f t="shared" si="6"/>
        <v>0.19714661994879637</v>
      </c>
    </row>
    <row r="31" spans="1:10">
      <c r="A31" s="1">
        <f t="shared" si="7"/>
        <v>2045</v>
      </c>
      <c r="B31" s="1">
        <f t="shared" si="8"/>
        <v>25</v>
      </c>
      <c r="C31" s="13">
        <f t="shared" si="2"/>
        <v>0.47760556926165965</v>
      </c>
      <c r="D31" s="54">
        <f t="shared" si="3"/>
        <v>0</v>
      </c>
      <c r="E31" s="54">
        <f t="shared" si="4"/>
        <v>0</v>
      </c>
      <c r="G31" s="1">
        <f t="shared" si="5"/>
        <v>25</v>
      </c>
      <c r="H31" s="73">
        <f t="shared" si="0"/>
        <v>0.47760556926165965</v>
      </c>
      <c r="I31" s="73">
        <f t="shared" si="1"/>
        <v>0.29530277169776209</v>
      </c>
      <c r="J31" s="73">
        <f t="shared" si="6"/>
        <v>0.18424917752223957</v>
      </c>
    </row>
    <row r="32" spans="1:10">
      <c r="A32" s="1">
        <f t="shared" si="7"/>
        <v>2046</v>
      </c>
      <c r="B32" s="1">
        <f t="shared" si="8"/>
        <v>26</v>
      </c>
      <c r="C32" s="13">
        <f t="shared" si="2"/>
        <v>0.46369472743850448</v>
      </c>
      <c r="D32" s="54">
        <f t="shared" si="3"/>
        <v>0</v>
      </c>
      <c r="E32" s="54">
        <f t="shared" si="4"/>
        <v>0</v>
      </c>
      <c r="G32" s="1">
        <f t="shared" si="5"/>
        <v>26</v>
      </c>
      <c r="H32" s="73">
        <f t="shared" si="0"/>
        <v>0.46369472743850448</v>
      </c>
      <c r="I32" s="73">
        <f t="shared" si="1"/>
        <v>0.28124073495024959</v>
      </c>
      <c r="J32" s="73">
        <f t="shared" si="6"/>
        <v>0.17219549301143888</v>
      </c>
    </row>
    <row r="33" spans="1:10">
      <c r="A33" s="1">
        <f t="shared" si="7"/>
        <v>2047</v>
      </c>
      <c r="B33" s="1">
        <f t="shared" si="8"/>
        <v>27</v>
      </c>
      <c r="C33" s="13">
        <f t="shared" si="2"/>
        <v>0.45018905576553836</v>
      </c>
      <c r="D33" s="54">
        <f t="shared" si="3"/>
        <v>0</v>
      </c>
      <c r="E33" s="54">
        <f t="shared" si="4"/>
        <v>0</v>
      </c>
      <c r="G33" s="1">
        <f t="shared" si="5"/>
        <v>27</v>
      </c>
      <c r="H33" s="73">
        <f t="shared" si="0"/>
        <v>0.45018905576553836</v>
      </c>
      <c r="I33" s="73">
        <f t="shared" si="1"/>
        <v>0.2678483190002377</v>
      </c>
      <c r="J33" s="73">
        <f t="shared" si="6"/>
        <v>0.16093036730041013</v>
      </c>
    </row>
    <row r="34" spans="1:10">
      <c r="A34" s="1">
        <f t="shared" si="7"/>
        <v>2048</v>
      </c>
      <c r="B34" s="1">
        <f t="shared" si="8"/>
        <v>28</v>
      </c>
      <c r="C34" s="13">
        <f t="shared" si="2"/>
        <v>0.4370767531704256</v>
      </c>
      <c r="D34" s="54">
        <f t="shared" si="3"/>
        <v>0</v>
      </c>
      <c r="E34" s="54">
        <f t="shared" si="4"/>
        <v>0</v>
      </c>
      <c r="G34" s="1">
        <f t="shared" si="5"/>
        <v>28</v>
      </c>
      <c r="H34" s="73">
        <f t="shared" si="0"/>
        <v>0.4370767531704256</v>
      </c>
      <c r="I34" s="73">
        <f t="shared" si="1"/>
        <v>0.25509363714308358</v>
      </c>
      <c r="J34" s="73">
        <f t="shared" si="6"/>
        <v>0.15040221243028987</v>
      </c>
    </row>
    <row r="35" spans="1:10">
      <c r="A35" s="1">
        <f t="shared" si="7"/>
        <v>2049</v>
      </c>
      <c r="B35" s="1">
        <f t="shared" si="8"/>
        <v>29</v>
      </c>
      <c r="C35" s="13">
        <f t="shared" si="2"/>
        <v>0.42434636230138412</v>
      </c>
      <c r="D35" s="54">
        <f t="shared" si="3"/>
        <v>0</v>
      </c>
      <c r="E35" s="54">
        <f t="shared" si="4"/>
        <v>0</v>
      </c>
      <c r="G35" s="1">
        <f t="shared" si="5"/>
        <v>29</v>
      </c>
      <c r="H35" s="73">
        <f t="shared" si="0"/>
        <v>0.42434636230138412</v>
      </c>
      <c r="I35" s="73">
        <f t="shared" si="1"/>
        <v>0.24294632108865097</v>
      </c>
      <c r="J35" s="73">
        <f t="shared" si="6"/>
        <v>0.1405628153554111</v>
      </c>
    </row>
    <row r="36" spans="1:10">
      <c r="A36" s="1">
        <f>A35+1</f>
        <v>2050</v>
      </c>
      <c r="B36" s="1">
        <f t="shared" si="8"/>
        <v>30</v>
      </c>
      <c r="C36" s="13">
        <f t="shared" si="2"/>
        <v>0.41198675951590691</v>
      </c>
      <c r="D36" s="54">
        <f t="shared" si="3"/>
        <v>0</v>
      </c>
      <c r="E36" s="54">
        <f t="shared" si="4"/>
        <v>0</v>
      </c>
      <c r="G36" s="1">
        <f t="shared" si="5"/>
        <v>30</v>
      </c>
      <c r="H36" s="73">
        <f t="shared" si="0"/>
        <v>0.41198675951590691</v>
      </c>
      <c r="I36" s="73">
        <f t="shared" si="1"/>
        <v>0.23137744865585813</v>
      </c>
      <c r="J36" s="73">
        <f t="shared" si="6"/>
        <v>0.13136711715458982</v>
      </c>
    </row>
    <row r="37" spans="1:10">
      <c r="A37" s="1">
        <f t="shared" ref="A37:A46" si="9">A36+1</f>
        <v>2051</v>
      </c>
      <c r="B37" s="1">
        <f t="shared" si="8"/>
        <v>31</v>
      </c>
      <c r="C37" s="13">
        <f t="shared" si="2"/>
        <v>0.39998714516107459</v>
      </c>
      <c r="D37" s="54">
        <f t="shared" si="3"/>
        <v>0</v>
      </c>
      <c r="E37" s="54">
        <f t="shared" si="4"/>
        <v>0</v>
      </c>
      <c r="G37" s="1">
        <f t="shared" si="5"/>
        <v>31</v>
      </c>
      <c r="H37" s="73">
        <f t="shared" si="0"/>
        <v>0.39998714516107459</v>
      </c>
      <c r="I37" s="73">
        <f t="shared" si="1"/>
        <v>0.220359474910341</v>
      </c>
      <c r="J37" s="73">
        <f t="shared" si="6"/>
        <v>0.1227730066865325</v>
      </c>
    </row>
    <row r="38" spans="1:10">
      <c r="A38" s="1">
        <f t="shared" si="9"/>
        <v>2052</v>
      </c>
      <c r="B38" s="1">
        <f t="shared" si="8"/>
        <v>32</v>
      </c>
      <c r="C38" s="13">
        <f t="shared" si="2"/>
        <v>0.38833703413696569</v>
      </c>
      <c r="D38" s="54">
        <f t="shared" si="3"/>
        <v>0</v>
      </c>
      <c r="E38" s="54">
        <f t="shared" si="4"/>
        <v>0</v>
      </c>
      <c r="G38" s="1">
        <f t="shared" si="5"/>
        <v>32</v>
      </c>
      <c r="H38" s="73">
        <f>(1/(1+$H$6)^G38)</f>
        <v>0.38833703413696569</v>
      </c>
      <c r="I38" s="73">
        <f>(1/(1+$I$6)^G38)</f>
        <v>0.20986616658127716</v>
      </c>
      <c r="J38" s="73">
        <f t="shared" si="6"/>
        <v>0.11474112774442291</v>
      </c>
    </row>
    <row r="39" spans="1:10">
      <c r="A39" s="1">
        <f t="shared" si="9"/>
        <v>2053</v>
      </c>
      <c r="B39" s="1">
        <f t="shared" si="8"/>
        <v>33</v>
      </c>
      <c r="C39" s="13">
        <f t="shared" si="2"/>
        <v>0.37702624673491814</v>
      </c>
      <c r="D39" s="54">
        <f t="shared" si="3"/>
        <v>0</v>
      </c>
      <c r="E39" s="54">
        <f t="shared" si="4"/>
        <v>0</v>
      </c>
      <c r="G39" s="1">
        <f t="shared" si="5"/>
        <v>33</v>
      </c>
      <c r="H39" s="73">
        <f>(1/(1+$H$6)^G39)</f>
        <v>0.37702624673491814</v>
      </c>
      <c r="I39" s="73">
        <f>(1/(1+$I$6)^G39)</f>
        <v>0.19987253960121634</v>
      </c>
      <c r="J39" s="73">
        <f t="shared" si="6"/>
        <v>0.10723469882656347</v>
      </c>
    </row>
    <row r="40" spans="1:10" s="1" customFormat="1">
      <c r="A40" s="1">
        <f t="shared" si="9"/>
        <v>2054</v>
      </c>
      <c r="B40" s="1">
        <f t="shared" ref="B40:B46" si="10">B39+1</f>
        <v>34</v>
      </c>
      <c r="C40" s="13">
        <f t="shared" si="2"/>
        <v>0.36604489974263904</v>
      </c>
      <c r="D40" s="54">
        <f t="shared" si="3"/>
        <v>0</v>
      </c>
      <c r="E40" s="54">
        <f t="shared" ref="E40:E46" si="11">D40*C40</f>
        <v>0</v>
      </c>
      <c r="G40" s="1">
        <f t="shared" si="5"/>
        <v>34</v>
      </c>
      <c r="H40" s="73">
        <f>(1/(1+$H$6)^G40)</f>
        <v>0.36604489974263904</v>
      </c>
      <c r="I40" s="73">
        <f>(1/(1+$I$6)^G40)</f>
        <v>0.19035479962020604</v>
      </c>
      <c r="J40" s="73">
        <f t="shared" si="6"/>
        <v>0.10021934469772288</v>
      </c>
    </row>
    <row r="41" spans="1:10" s="1" customFormat="1">
      <c r="A41" s="1">
        <f t="shared" si="9"/>
        <v>2055</v>
      </c>
      <c r="B41" s="1">
        <f t="shared" si="10"/>
        <v>35</v>
      </c>
      <c r="C41" s="13">
        <f t="shared" si="2"/>
        <v>0.35538339780838735</v>
      </c>
      <c r="D41" s="54">
        <f t="shared" si="3"/>
        <v>0</v>
      </c>
      <c r="E41" s="54">
        <f t="shared" si="11"/>
        <v>0</v>
      </c>
      <c r="G41" s="1">
        <f t="shared" si="5"/>
        <v>35</v>
      </c>
      <c r="H41" s="73">
        <f>(1/(1+$H$6)^G41)</f>
        <v>0.35538339780838735</v>
      </c>
      <c r="I41" s="73">
        <f>(1/(1+$I$6)^G41)</f>
        <v>0.18129028535257716</v>
      </c>
      <c r="J41" s="73">
        <f t="shared" si="6"/>
        <v>9.366293896983445E-2</v>
      </c>
    </row>
    <row r="42" spans="1:10" s="1" customFormat="1">
      <c r="A42" s="1">
        <f t="shared" si="9"/>
        <v>2056</v>
      </c>
      <c r="B42" s="1">
        <f t="shared" si="10"/>
        <v>36</v>
      </c>
      <c r="C42" s="13">
        <f t="shared" si="2"/>
        <v>0.34503242505668674</v>
      </c>
      <c r="D42" s="54">
        <f t="shared" si="3"/>
        <v>0</v>
      </c>
      <c r="E42" s="54">
        <f t="shared" si="11"/>
        <v>0</v>
      </c>
      <c r="G42" s="1">
        <f t="shared" ref="G42:G46" si="12">B42</f>
        <v>36</v>
      </c>
      <c r="H42" s="73">
        <f t="shared" ref="H42:H46" si="13">(1/(1+$H$6)^G42)</f>
        <v>0.34503242505668674</v>
      </c>
      <c r="I42" s="73">
        <f t="shared" ref="I42:I46" si="14">(1/(1+$I$6)^G42)</f>
        <v>0.17265741462150208</v>
      </c>
      <c r="J42" s="73">
        <f t="shared" ref="J42:J46" si="15">(1/(1+$J$6)^G42)</f>
        <v>8.7535456981153698E-2</v>
      </c>
    </row>
    <row r="43" spans="1:10" s="1" customFormat="1">
      <c r="A43" s="1">
        <f t="shared" si="9"/>
        <v>2057</v>
      </c>
      <c r="B43" s="1">
        <f t="shared" si="10"/>
        <v>37</v>
      </c>
      <c r="C43" s="13">
        <f t="shared" si="2"/>
        <v>0.33498293694823961</v>
      </c>
      <c r="D43" s="54">
        <f t="shared" si="3"/>
        <v>0</v>
      </c>
      <c r="E43" s="54">
        <f t="shared" si="11"/>
        <v>0</v>
      </c>
      <c r="G43" s="1">
        <f t="shared" si="12"/>
        <v>37</v>
      </c>
      <c r="H43" s="73">
        <f t="shared" si="13"/>
        <v>0.33498293694823961</v>
      </c>
      <c r="I43" s="73">
        <f t="shared" si="14"/>
        <v>0.1644356329728591</v>
      </c>
      <c r="J43" s="73">
        <f t="shared" si="15"/>
        <v>8.1808838300143641E-2</v>
      </c>
    </row>
    <row r="44" spans="1:10" s="1" customFormat="1">
      <c r="A44" s="1">
        <f t="shared" si="9"/>
        <v>2058</v>
      </c>
      <c r="B44" s="1">
        <f t="shared" si="10"/>
        <v>38</v>
      </c>
      <c r="C44" s="13">
        <f t="shared" si="2"/>
        <v>0.3252261523769317</v>
      </c>
      <c r="D44" s="54">
        <f t="shared" si="3"/>
        <v>0</v>
      </c>
      <c r="E44" s="54">
        <f t="shared" si="11"/>
        <v>0</v>
      </c>
      <c r="G44" s="1">
        <f t="shared" si="12"/>
        <v>38</v>
      </c>
      <c r="H44" s="73">
        <f t="shared" si="13"/>
        <v>0.3252261523769317</v>
      </c>
      <c r="I44" s="73">
        <f t="shared" si="14"/>
        <v>0.15660536473605632</v>
      </c>
      <c r="J44" s="73">
        <f t="shared" si="15"/>
        <v>7.6456858224433308E-2</v>
      </c>
    </row>
    <row r="45" spans="1:10" s="1" customFormat="1">
      <c r="A45" s="1">
        <f t="shared" si="9"/>
        <v>2059</v>
      </c>
      <c r="B45" s="1">
        <f t="shared" si="10"/>
        <v>39</v>
      </c>
      <c r="C45" s="13">
        <f t="shared" si="2"/>
        <v>0.31575354599702099</v>
      </c>
      <c r="D45" s="54">
        <f t="shared" si="3"/>
        <v>0</v>
      </c>
      <c r="E45" s="54">
        <f t="shared" si="11"/>
        <v>0</v>
      </c>
      <c r="G45" s="1">
        <f t="shared" si="12"/>
        <v>39</v>
      </c>
      <c r="H45" s="73">
        <f t="shared" si="13"/>
        <v>0.31575354599702099</v>
      </c>
      <c r="I45" s="73">
        <f t="shared" si="14"/>
        <v>0.14914796641529171</v>
      </c>
      <c r="J45" s="73">
        <f t="shared" si="15"/>
        <v>7.1455007686386268E-2</v>
      </c>
    </row>
    <row r="46" spans="1:10" s="1" customFormat="1">
      <c r="A46" s="1">
        <f t="shared" si="9"/>
        <v>2060</v>
      </c>
      <c r="B46" s="1">
        <f t="shared" si="10"/>
        <v>40</v>
      </c>
      <c r="C46" s="13">
        <f t="shared" si="2"/>
        <v>0.30655684077380685</v>
      </c>
      <c r="D46" s="54">
        <f t="shared" si="3"/>
        <v>0</v>
      </c>
      <c r="E46" s="54">
        <f t="shared" si="11"/>
        <v>0</v>
      </c>
      <c r="G46" s="1">
        <f t="shared" si="12"/>
        <v>40</v>
      </c>
      <c r="H46" s="73">
        <f t="shared" si="13"/>
        <v>0.30655684077380685</v>
      </c>
      <c r="I46" s="73">
        <f t="shared" si="14"/>
        <v>0.14204568230027784</v>
      </c>
      <c r="J46" s="73">
        <f t="shared" si="15"/>
        <v>6.6780381015314264E-2</v>
      </c>
    </row>
    <row r="47" spans="1:10" s="2" customFormat="1">
      <c r="D47" s="58">
        <f>SUM(D7:D46)</f>
        <v>40.545609412286311</v>
      </c>
      <c r="E47" s="58">
        <f>SUM(E7:E46)</f>
        <v>38.791397448836463</v>
      </c>
    </row>
    <row r="48" spans="1:10">
      <c r="A48" s="1"/>
    </row>
    <row r="49" spans="1:1">
      <c r="A49" s="1"/>
    </row>
    <row r="50" spans="1:1">
      <c r="A50" s="1"/>
    </row>
  </sheetData>
  <mergeCells count="2">
    <mergeCell ref="D5:E5"/>
    <mergeCell ref="G5:I5"/>
  </mergeCells>
  <hyperlinks>
    <hyperlink ref="L5" r:id="rId1" location="reqid=19&amp;step=2&amp;isuri=1&amp;1921=survey&amp;1903=13" display="https://apps.bea.gov/iTable/iTable.cfm?reqid=19&amp;step=2 - reqid=19&amp;step=2&amp;isuri=1&amp;1921=survey&amp;1903=13"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zoomScale="85" zoomScaleNormal="85" workbookViewId="0">
      <pane ySplit="1" topLeftCell="A2" activePane="bottomLeft" state="frozen"/>
      <selection pane="bottomLeft" activeCell="C3" sqref="C3"/>
    </sheetView>
  </sheetViews>
  <sheetFormatPr defaultColWidth="8.77734375" defaultRowHeight="14.4"/>
  <cols>
    <col min="1" max="1" width="7.21875" style="8" bestFit="1" customWidth="1"/>
    <col min="2" max="2" width="4.77734375" style="8" bestFit="1" customWidth="1"/>
    <col min="3" max="3" width="14" style="8" bestFit="1" customWidth="1"/>
    <col min="4" max="5" width="19.44140625" style="9" customWidth="1"/>
    <col min="6" max="8" width="19.44140625" style="8" customWidth="1"/>
    <col min="9" max="16384" width="8.77734375" style="8"/>
  </cols>
  <sheetData>
    <row r="1" spans="1:8" ht="28.95" customHeight="1">
      <c r="C1" s="100" t="s">
        <v>18</v>
      </c>
      <c r="D1" s="179" t="s">
        <v>21</v>
      </c>
      <c r="E1" s="178" t="s">
        <v>20</v>
      </c>
      <c r="F1" s="179" t="s">
        <v>353</v>
      </c>
      <c r="G1" s="178" t="s">
        <v>354</v>
      </c>
      <c r="H1" s="302" t="s">
        <v>16</v>
      </c>
    </row>
    <row r="2" spans="1:8">
      <c r="C2" s="27">
        <v>0.03</v>
      </c>
      <c r="D2" s="301" t="s">
        <v>17</v>
      </c>
      <c r="E2" s="300" t="s">
        <v>17</v>
      </c>
      <c r="F2" s="301" t="s">
        <v>17</v>
      </c>
      <c r="G2" s="300" t="s">
        <v>17</v>
      </c>
      <c r="H2" s="303" t="s">
        <v>17</v>
      </c>
    </row>
    <row r="3" spans="1:8">
      <c r="A3" s="8">
        <f>'Inputs and Results'!C8</f>
        <v>2023</v>
      </c>
      <c r="B3" s="8">
        <f>LOOKUP(A3:A22,Discounting!A7:A46,Discounting!B7:B46)</f>
        <v>3</v>
      </c>
      <c r="C3" s="30">
        <f t="shared" ref="C3:C22" si="0">(1/(1+$C$2)^B3)</f>
        <v>0.91514165935315961</v>
      </c>
      <c r="D3" s="31">
        <f>('Travel Impacts'!E11-'Travel Impacts'!T11)+('Travel Impacts'!M11-'Travel Impacts'!AB11)</f>
        <v>7547309.7305277744</v>
      </c>
      <c r="E3" s="32">
        <f>('Travel Impacts'!F11-'Travel Impacts'!U11)+('Travel Impacts'!N11-'Travel Impacts'!AC11)</f>
        <v>2520164.0529686417</v>
      </c>
      <c r="F3" s="33">
        <f>'Travel Impacts'!G11-'Travel Impacts'!V11</f>
        <v>4301466.7013888871</v>
      </c>
      <c r="G3" s="72">
        <f>('Travel Impacts'!H11)-('Travel Impacts'!W11)</f>
        <v>7579494.2095358493</v>
      </c>
      <c r="H3" s="304">
        <f>('Travel Impacts'!I11+'Travel Impacts'!J11)-('Travel Impacts'!X11+'Travel Impacts'!Y11)</f>
        <v>90002.569521356985</v>
      </c>
    </row>
    <row r="4" spans="1:8">
      <c r="A4" s="8">
        <f>A3+1</f>
        <v>2024</v>
      </c>
      <c r="B4" s="8">
        <f t="shared" ref="B4:B22" si="1">B3+1</f>
        <v>4</v>
      </c>
      <c r="C4" s="30">
        <f t="shared" si="0"/>
        <v>0.888487047915689</v>
      </c>
      <c r="D4" s="31">
        <f>('Travel Impacts'!E12-'Travel Impacts'!T12)+('Travel Impacts'!M12-'Travel Impacts'!AB12)</f>
        <v>7698255.9251383292</v>
      </c>
      <c r="E4" s="32">
        <f>('Travel Impacts'!F12-'Travel Impacts'!U12)+('Travel Impacts'!N12-'Travel Impacts'!AC12)</f>
        <v>2570567.3340280149</v>
      </c>
      <c r="F4" s="33">
        <f>'Travel Impacts'!G12-'Travel Impacts'!V12</f>
        <v>4387496.0354166646</v>
      </c>
      <c r="G4" s="72">
        <f>('Travel Impacts'!H12)-('Travel Impacts'!W12)</f>
        <v>7731084.0937265651</v>
      </c>
      <c r="H4" s="304">
        <f>('Travel Impacts'!I12+'Travel Impacts'!J12)-('Travel Impacts'!X12+'Travel Impacts'!Y12)</f>
        <v>91802.620911784121</v>
      </c>
    </row>
    <row r="5" spans="1:8">
      <c r="A5" s="8">
        <f t="shared" ref="A5:A22" si="2">A4+1</f>
        <v>2025</v>
      </c>
      <c r="B5" s="8">
        <f t="shared" si="1"/>
        <v>5</v>
      </c>
      <c r="C5" s="30">
        <f t="shared" si="0"/>
        <v>0.86260878438416411</v>
      </c>
      <c r="D5" s="31">
        <f>('Travel Impacts'!E13-'Travel Impacts'!T13)+('Travel Impacts'!M13-'Travel Impacts'!AB13)</f>
        <v>7852221.0436410978</v>
      </c>
      <c r="E5" s="32">
        <f>('Travel Impacts'!F13-'Travel Impacts'!U13)+('Travel Impacts'!N13-'Travel Impacts'!AC13)</f>
        <v>2621978.6807085755</v>
      </c>
      <c r="F5" s="33">
        <f>'Travel Impacts'!G13-'Travel Impacts'!V13</f>
        <v>4475245.9561249986</v>
      </c>
      <c r="G5" s="72">
        <f>('Travel Impacts'!H13)-('Travel Impacts'!W13)</f>
        <v>7885705.7756010974</v>
      </c>
      <c r="H5" s="304">
        <f>('Travel Impacts'!I13+'Travel Impacts'!J13)-('Travel Impacts'!X13+'Travel Impacts'!Y13)</f>
        <v>93638.673330019839</v>
      </c>
    </row>
    <row r="6" spans="1:8">
      <c r="A6" s="8">
        <f t="shared" si="2"/>
        <v>2026</v>
      </c>
      <c r="B6" s="8">
        <f t="shared" si="1"/>
        <v>6</v>
      </c>
      <c r="C6" s="30">
        <f t="shared" si="0"/>
        <v>0.83748425668365445</v>
      </c>
      <c r="D6" s="31">
        <f>('Travel Impacts'!E14-'Travel Impacts'!T14)+('Travel Impacts'!M14-'Travel Impacts'!AB14)</f>
        <v>8009265.4645139184</v>
      </c>
      <c r="E6" s="32">
        <f>('Travel Impacts'!F14-'Travel Impacts'!U14)+('Travel Impacts'!N14-'Travel Impacts'!AC14)</f>
        <v>2674418.2543227468</v>
      </c>
      <c r="F6" s="33">
        <f>'Travel Impacts'!G14-'Travel Impacts'!V14</f>
        <v>4564750.875247499</v>
      </c>
      <c r="G6" s="72">
        <f>('Travel Impacts'!H14)-('Travel Impacts'!W14)</f>
        <v>8043419.8911131192</v>
      </c>
      <c r="H6" s="304">
        <f>('Travel Impacts'!I14+'Travel Impacts'!J14)-('Travel Impacts'!X14+'Travel Impacts'!Y14)</f>
        <v>95511.446796620236</v>
      </c>
    </row>
    <row r="7" spans="1:8">
      <c r="A7" s="8">
        <f t="shared" si="2"/>
        <v>2027</v>
      </c>
      <c r="B7" s="8">
        <f t="shared" si="1"/>
        <v>7</v>
      </c>
      <c r="C7" s="30">
        <f t="shared" si="0"/>
        <v>0.81309151134335378</v>
      </c>
      <c r="D7" s="31">
        <f>('Travel Impacts'!E15-'Travel Impacts'!T15)+('Travel Impacts'!M15-'Travel Impacts'!AB15)</f>
        <v>8169450.773804198</v>
      </c>
      <c r="E7" s="32">
        <f>('Travel Impacts'!F15-'Travel Impacts'!U15)+('Travel Impacts'!N15-'Travel Impacts'!AC15)</f>
        <v>2727906.6194092017</v>
      </c>
      <c r="F7" s="33">
        <f>'Travel Impacts'!G15-'Travel Impacts'!V15</f>
        <v>4656045.892752449</v>
      </c>
      <c r="G7" s="72">
        <f>('Travel Impacts'!H15)-('Travel Impacts'!W15)</f>
        <v>8204288.2889353838</v>
      </c>
      <c r="H7" s="304">
        <f>('Travel Impacts'!I15+'Travel Impacts'!J15)-('Travel Impacts'!X15+'Travel Impacts'!Y15)</f>
        <v>97421.675732552656</v>
      </c>
    </row>
    <row r="8" spans="1:8">
      <c r="A8" s="8">
        <f t="shared" si="2"/>
        <v>2028</v>
      </c>
      <c r="B8" s="8">
        <f t="shared" si="1"/>
        <v>8</v>
      </c>
      <c r="C8" s="30">
        <f t="shared" si="0"/>
        <v>0.78940923431393573</v>
      </c>
      <c r="D8" s="31">
        <f>('Travel Impacts'!E16-'Travel Impacts'!T16)+('Travel Impacts'!M16-'Travel Impacts'!AB16)</f>
        <v>8332839.7892802842</v>
      </c>
      <c r="E8" s="32">
        <f>('Travel Impacts'!F16-'Travel Impacts'!U16)+('Travel Impacts'!N16-'Travel Impacts'!AC16)</f>
        <v>2782464.7517973864</v>
      </c>
      <c r="F8" s="33">
        <f>'Travel Impacts'!G16-'Travel Impacts'!V16</f>
        <v>4749166.8106074985</v>
      </c>
      <c r="G8" s="72">
        <f>('Travel Impacts'!H16)-('Travel Impacts'!W16)</f>
        <v>8368374.0547140921</v>
      </c>
      <c r="H8" s="304">
        <f>('Travel Impacts'!I16+'Travel Impacts'!J16)-('Travel Impacts'!X16+'Travel Impacts'!Y16)</f>
        <v>99370.109247203713</v>
      </c>
    </row>
    <row r="9" spans="1:8">
      <c r="A9" s="8">
        <f t="shared" si="2"/>
        <v>2029</v>
      </c>
      <c r="B9" s="8">
        <f t="shared" si="1"/>
        <v>9</v>
      </c>
      <c r="C9" s="30">
        <f t="shared" si="0"/>
        <v>0.76641673234362695</v>
      </c>
      <c r="D9" s="31">
        <f>('Travel Impacts'!E17-'Travel Impacts'!T17)+('Travel Impacts'!M17-'Travel Impacts'!AB17)</f>
        <v>8499496.5850658901</v>
      </c>
      <c r="E9" s="32">
        <f>('Travel Impacts'!F17-'Travel Impacts'!U17)+('Travel Impacts'!N17-'Travel Impacts'!AC17)</f>
        <v>2838114.046833334</v>
      </c>
      <c r="F9" s="33">
        <f>'Travel Impacts'!G17-'Travel Impacts'!V17</f>
        <v>4844150.1468196493</v>
      </c>
      <c r="G9" s="72">
        <f>('Travel Impacts'!H17)-('Travel Impacts'!W17)</f>
        <v>8535741.5358083732</v>
      </c>
      <c r="H9" s="304">
        <f>('Travel Impacts'!I17+'Travel Impacts'!J17)-('Travel Impacts'!X17+'Travel Impacts'!Y17)</f>
        <v>101357.51143214779</v>
      </c>
    </row>
    <row r="10" spans="1:8">
      <c r="A10" s="8">
        <f t="shared" si="2"/>
        <v>2030</v>
      </c>
      <c r="B10" s="8">
        <f t="shared" si="1"/>
        <v>10</v>
      </c>
      <c r="C10" s="30">
        <f t="shared" si="0"/>
        <v>0.74409391489672516</v>
      </c>
      <c r="D10" s="31">
        <f>('Travel Impacts'!E18-'Travel Impacts'!T18)+('Travel Impacts'!M18-'Travel Impacts'!AB18)</f>
        <v>8669486.5167672075</v>
      </c>
      <c r="E10" s="32">
        <f>('Travel Impacts'!F18-'Travel Impacts'!U18)+('Travel Impacts'!N18-'Travel Impacts'!AC18)</f>
        <v>2894876.3277700003</v>
      </c>
      <c r="F10" s="33">
        <f>'Travel Impacts'!G18-'Travel Impacts'!V18</f>
        <v>4941033.1497560423</v>
      </c>
      <c r="G10" s="72">
        <f>('Travel Impacts'!H18)-('Travel Impacts'!W18)</f>
        <v>8706456.3665245418</v>
      </c>
      <c r="H10" s="304">
        <f>('Travel Impacts'!I18+'Travel Impacts'!J18)-('Travel Impacts'!X18+'Travel Impacts'!Y18)</f>
        <v>103384.66166079075</v>
      </c>
    </row>
    <row r="11" spans="1:8">
      <c r="A11" s="8">
        <f t="shared" si="2"/>
        <v>2031</v>
      </c>
      <c r="B11" s="8">
        <f t="shared" si="1"/>
        <v>11</v>
      </c>
      <c r="C11" s="30">
        <f t="shared" si="0"/>
        <v>0.72242127659876232</v>
      </c>
      <c r="D11" s="31">
        <f>('Travel Impacts'!E19-'Travel Impacts'!T19)+('Travel Impacts'!M19-'Travel Impacts'!AB19)</f>
        <v>8842876.2471025549</v>
      </c>
      <c r="E11" s="32">
        <f>('Travel Impacts'!F19-'Travel Impacts'!U19)+('Travel Impacts'!N19-'Travel Impacts'!AC19)</f>
        <v>2952773.8543254011</v>
      </c>
      <c r="F11" s="33">
        <f>'Travel Impacts'!G19-'Travel Impacts'!V19</f>
        <v>5039853.8127511637</v>
      </c>
      <c r="G11" s="72">
        <f>('Travel Impacts'!H19)-('Travel Impacts'!W19)</f>
        <v>8880585.4938550331</v>
      </c>
      <c r="H11" s="304">
        <f>('Travel Impacts'!I19+'Travel Impacts'!J19)-('Travel Impacts'!X19+'Travel Impacts'!Y19)</f>
        <v>105452.35489400658</v>
      </c>
    </row>
    <row r="12" spans="1:8">
      <c r="A12" s="8">
        <f t="shared" si="2"/>
        <v>2032</v>
      </c>
      <c r="B12" s="8">
        <f t="shared" si="1"/>
        <v>12</v>
      </c>
      <c r="C12" s="30">
        <f t="shared" si="0"/>
        <v>0.70137988019297326</v>
      </c>
      <c r="D12" s="31">
        <f>('Travel Impacts'!E20-'Travel Impacts'!T20)+('Travel Impacts'!M20-'Travel Impacts'!AB20)</f>
        <v>9019733.7720446065</v>
      </c>
      <c r="E12" s="32">
        <f>('Travel Impacts'!F20-'Travel Impacts'!U20)+('Travel Impacts'!N20-'Travel Impacts'!AC20)</f>
        <v>3011829.3314119093</v>
      </c>
      <c r="F12" s="33">
        <f>'Travel Impacts'!G20-'Travel Impacts'!V20</f>
        <v>5140650.8890061872</v>
      </c>
      <c r="G12" s="72">
        <f>('Travel Impacts'!H20)-('Travel Impacts'!W20)</f>
        <v>9058197.2037321348</v>
      </c>
      <c r="H12" s="304">
        <f>('Travel Impacts'!I20+'Travel Impacts'!J20)-('Travel Impacts'!X20+'Travel Impacts'!Y20)</f>
        <v>107561.40199188673</v>
      </c>
    </row>
    <row r="13" spans="1:8">
      <c r="A13" s="8">
        <f t="shared" si="2"/>
        <v>2033</v>
      </c>
      <c r="B13" s="8">
        <f t="shared" si="1"/>
        <v>13</v>
      </c>
      <c r="C13" s="30">
        <f t="shared" si="0"/>
        <v>0.68095133999317792</v>
      </c>
      <c r="D13" s="31">
        <f>('Travel Impacts'!E21-'Travel Impacts'!T21)+('Travel Impacts'!M21-'Travel Impacts'!AB21)</f>
        <v>9200128.4474854954</v>
      </c>
      <c r="E13" s="32">
        <f>('Travel Impacts'!F21-'Travel Impacts'!U21)+('Travel Impacts'!N21-'Travel Impacts'!AC21)</f>
        <v>3072065.9180401471</v>
      </c>
      <c r="F13" s="33">
        <f>'Travel Impacts'!G21-'Travel Impacts'!V21</f>
        <v>5243463.9067863096</v>
      </c>
      <c r="G13" s="72">
        <f>('Travel Impacts'!H21)-('Travel Impacts'!W21)</f>
        <v>9239361.1478067767</v>
      </c>
      <c r="H13" s="304">
        <f>('Travel Impacts'!I21+'Travel Impacts'!J21)-('Travel Impacts'!X21+'Travel Impacts'!Y21)</f>
        <v>109712.63003172443</v>
      </c>
    </row>
    <row r="14" spans="1:8">
      <c r="A14" s="8">
        <f t="shared" si="2"/>
        <v>2034</v>
      </c>
      <c r="B14" s="8">
        <f t="shared" si="1"/>
        <v>14</v>
      </c>
      <c r="C14" s="30">
        <f t="shared" si="0"/>
        <v>0.66111780581861923</v>
      </c>
      <c r="D14" s="31">
        <f>('Travel Impacts'!E22-'Travel Impacts'!T22)+('Travel Impacts'!M22-'Travel Impacts'!AB22)</f>
        <v>9384131.0164352059</v>
      </c>
      <c r="E14" s="32">
        <f>('Travel Impacts'!F22-'Travel Impacts'!U22)+('Travel Impacts'!N22-'Travel Impacts'!AC22)</f>
        <v>3133507.2364009507</v>
      </c>
      <c r="F14" s="33">
        <f>'Travel Impacts'!G22-'Travel Impacts'!V22</f>
        <v>5348333.1849220367</v>
      </c>
      <c r="G14" s="72">
        <f>('Travel Impacts'!H22)-('Travel Impacts'!W22)</f>
        <v>9424148.3707629144</v>
      </c>
      <c r="H14" s="304">
        <f>('Travel Impacts'!I22+'Travel Impacts'!J22)-('Travel Impacts'!X22+'Travel Impacts'!Y22)</f>
        <v>111906.88263235893</v>
      </c>
    </row>
    <row r="15" spans="1:8">
      <c r="A15" s="8">
        <f t="shared" si="2"/>
        <v>2035</v>
      </c>
      <c r="B15" s="8">
        <f t="shared" si="1"/>
        <v>15</v>
      </c>
      <c r="C15" s="30">
        <f t="shared" si="0"/>
        <v>0.64186194739671765</v>
      </c>
      <c r="D15" s="31">
        <f>('Travel Impacts'!E23-'Travel Impacts'!T23)+('Travel Impacts'!M23-'Travel Impacts'!AB23)</f>
        <v>9571813.636763908</v>
      </c>
      <c r="E15" s="32">
        <f>('Travel Impacts'!F23-'Travel Impacts'!U23)+('Travel Impacts'!N23-'Travel Impacts'!AC23)</f>
        <v>3196177.3811289696</v>
      </c>
      <c r="F15" s="33">
        <f>'Travel Impacts'!G23-'Travel Impacts'!V23</f>
        <v>5455299.8486204781</v>
      </c>
      <c r="G15" s="72">
        <f>('Travel Impacts'!H23)-('Travel Impacts'!W23)</f>
        <v>9612631.3381781708</v>
      </c>
      <c r="H15" s="304">
        <f>('Travel Impacts'!I23+'Travel Impacts'!J23)-('Travel Impacts'!X23+'Travel Impacts'!Y23)</f>
        <v>114145.02028500609</v>
      </c>
    </row>
    <row r="16" spans="1:8">
      <c r="A16" s="8">
        <f t="shared" si="2"/>
        <v>2036</v>
      </c>
      <c r="B16" s="8">
        <f t="shared" si="1"/>
        <v>16</v>
      </c>
      <c r="C16" s="30">
        <f t="shared" si="0"/>
        <v>0.62316693922011435</v>
      </c>
      <c r="D16" s="31">
        <f>('Travel Impacts'!E24-'Travel Impacts'!T24)+('Travel Impacts'!M24-'Travel Impacts'!AB24)</f>
        <v>9763249.9094991889</v>
      </c>
      <c r="E16" s="32">
        <f>('Travel Impacts'!F24-'Travel Impacts'!U24)+('Travel Impacts'!N24-'Travel Impacts'!AC24)</f>
        <v>3260100.9287515497</v>
      </c>
      <c r="F16" s="33">
        <f>'Travel Impacts'!G24-'Travel Impacts'!V24</f>
        <v>5564405.8455928862</v>
      </c>
      <c r="G16" s="72">
        <f>('Travel Impacts'!H24)-('Travel Impacts'!W24)</f>
        <v>9804883.9649417363</v>
      </c>
      <c r="H16" s="304">
        <f>('Travel Impacts'!I24+'Travel Impacts'!J24)-('Travel Impacts'!X24+'Travel Impacts'!Y24)</f>
        <v>116427.92069070623</v>
      </c>
    </row>
    <row r="17" spans="1:8">
      <c r="A17" s="8">
        <f t="shared" si="2"/>
        <v>2037</v>
      </c>
      <c r="B17" s="8">
        <f t="shared" si="1"/>
        <v>17</v>
      </c>
      <c r="C17" s="30">
        <f t="shared" si="0"/>
        <v>0.60501644584477121</v>
      </c>
      <c r="D17" s="31">
        <f>('Travel Impacts'!E25-'Travel Impacts'!T25)+('Travel Impacts'!M25-'Travel Impacts'!AB25)</f>
        <v>9958514.9076891709</v>
      </c>
      <c r="E17" s="32">
        <f>('Travel Impacts'!F25-'Travel Impacts'!U25)+('Travel Impacts'!N25-'Travel Impacts'!AC25)</f>
        <v>3325302.9473265805</v>
      </c>
      <c r="F17" s="33">
        <f>'Travel Impacts'!G25-'Travel Impacts'!V25</f>
        <v>5675693.9625047445</v>
      </c>
      <c r="G17" s="72">
        <f>('Travel Impacts'!H25)-('Travel Impacts'!W25)</f>
        <v>10000981.644240569</v>
      </c>
      <c r="H17" s="304">
        <f>('Travel Impacts'!I25+'Travel Impacts'!J25)-('Travel Impacts'!X25+'Travel Impacts'!Y25)</f>
        <v>118756.47910452033</v>
      </c>
    </row>
    <row r="18" spans="1:8">
      <c r="A18" s="8">
        <f t="shared" si="2"/>
        <v>2038</v>
      </c>
      <c r="B18" s="8">
        <f t="shared" si="1"/>
        <v>18</v>
      </c>
      <c r="C18" s="30">
        <f t="shared" si="0"/>
        <v>0.5873946076162827</v>
      </c>
      <c r="D18" s="31">
        <f>('Travel Impacts'!E26-'Travel Impacts'!T26)+('Travel Impacts'!M26-'Travel Impacts'!AB26)</f>
        <v>10157685.205842955</v>
      </c>
      <c r="E18" s="32">
        <f>('Travel Impacts'!F26-'Travel Impacts'!U26)+('Travel Impacts'!N26-'Travel Impacts'!AC26)</f>
        <v>3391809.0062731123</v>
      </c>
      <c r="F18" s="33">
        <f>'Travel Impacts'!G26-'Travel Impacts'!V26</f>
        <v>5789207.8417548388</v>
      </c>
      <c r="G18" s="72">
        <f>('Travel Impacts'!H26)-('Travel Impacts'!W26)</f>
        <v>10201001.277125383</v>
      </c>
      <c r="H18" s="304">
        <f>('Travel Impacts'!I26+'Travel Impacts'!J26)-('Travel Impacts'!X26+'Travel Impacts'!Y26)</f>
        <v>121131.60868661077</v>
      </c>
    </row>
    <row r="19" spans="1:8">
      <c r="A19" s="8">
        <f t="shared" si="2"/>
        <v>2039</v>
      </c>
      <c r="B19" s="8">
        <f t="shared" si="1"/>
        <v>19</v>
      </c>
      <c r="C19" s="30">
        <f t="shared" si="0"/>
        <v>0.57028602681192497</v>
      </c>
      <c r="D19" s="31">
        <f>('Travel Impacts'!E27-'Travel Impacts'!T27)+('Travel Impacts'!M27-'Travel Impacts'!AB27)</f>
        <v>10360838.909959814</v>
      </c>
      <c r="E19" s="32">
        <f>('Travel Impacts'!F27-'Travel Impacts'!U27)+('Travel Impacts'!N27-'Travel Impacts'!AC27)</f>
        <v>3459645.1863985742</v>
      </c>
      <c r="F19" s="33">
        <f>'Travel Impacts'!G27-'Travel Impacts'!V27</f>
        <v>5904991.9985899348</v>
      </c>
      <c r="G19" s="72">
        <f>('Travel Impacts'!H27)-('Travel Impacts'!W27)</f>
        <v>10405021.30266789</v>
      </c>
      <c r="H19" s="304">
        <f>('Travel Impacts'!I27+'Travel Impacts'!J27)-('Travel Impacts'!X27+'Travel Impacts'!Y27)</f>
        <v>123554.24086034296</v>
      </c>
    </row>
    <row r="20" spans="1:8">
      <c r="A20" s="8">
        <f t="shared" si="2"/>
        <v>2040</v>
      </c>
      <c r="B20" s="8">
        <f t="shared" si="1"/>
        <v>20</v>
      </c>
      <c r="C20" s="30">
        <f t="shared" si="0"/>
        <v>0.55367575418633497</v>
      </c>
      <c r="D20" s="31">
        <f>('Travel Impacts'!E28-'Travel Impacts'!T28)+('Travel Impacts'!M28-'Travel Impacts'!AB28)</f>
        <v>10568055.688159008</v>
      </c>
      <c r="E20" s="32">
        <f>('Travel Impacts'!F28-'Travel Impacts'!U28)+('Travel Impacts'!N28-'Travel Impacts'!AC28)</f>
        <v>3528838.0901265452</v>
      </c>
      <c r="F20" s="33">
        <f>'Travel Impacts'!G28-'Travel Impacts'!V28</f>
        <v>6023091.8385617323</v>
      </c>
      <c r="G20" s="72">
        <f>('Travel Impacts'!H28)-('Travel Impacts'!W28)</f>
        <v>10613121.728721244</v>
      </c>
      <c r="H20" s="304">
        <f>('Travel Impacts'!I28+'Travel Impacts'!J28)-('Travel Impacts'!X28+'Travel Impacts'!Y28)</f>
        <v>126025.32567754982</v>
      </c>
    </row>
    <row r="21" spans="1:8">
      <c r="A21" s="8">
        <f t="shared" si="2"/>
        <v>2041</v>
      </c>
      <c r="B21" s="8">
        <f t="shared" si="1"/>
        <v>21</v>
      </c>
      <c r="C21" s="30">
        <f t="shared" si="0"/>
        <v>0.5375492759090631</v>
      </c>
      <c r="D21" s="31">
        <f>('Travel Impacts'!E29-'Travel Impacts'!T29)+('Travel Impacts'!M29-'Travel Impacts'!AB29)</f>
        <v>10779416.801922189</v>
      </c>
      <c r="E21" s="32">
        <f>('Travel Impacts'!F29-'Travel Impacts'!U29)+('Travel Impacts'!N29-'Travel Impacts'!AC29)</f>
        <v>3599414.8519290756</v>
      </c>
      <c r="F21" s="33">
        <f>'Travel Impacts'!G29-'Travel Impacts'!V29</f>
        <v>6143553.6753329691</v>
      </c>
      <c r="G21" s="72">
        <f>('Travel Impacts'!H29)-('Travel Impacts'!W29)</f>
        <v>10825384.163295671</v>
      </c>
      <c r="H21" s="304">
        <f>('Travel Impacts'!I29+'Travel Impacts'!J29)-('Travel Impacts'!X29+'Travel Impacts'!Y29)</f>
        <v>128545.83219110081</v>
      </c>
    </row>
    <row r="22" spans="1:8" ht="15" thickBot="1">
      <c r="A22" s="8">
        <f t="shared" si="2"/>
        <v>2042</v>
      </c>
      <c r="B22" s="8">
        <f t="shared" si="1"/>
        <v>22</v>
      </c>
      <c r="C22" s="30">
        <f t="shared" si="0"/>
        <v>0.52189250088258554</v>
      </c>
      <c r="D22" s="31">
        <f>('Travel Impacts'!E30-'Travel Impacts'!T30)+('Travel Impacts'!M30-'Travel Impacts'!AB30)</f>
        <v>10995005.137960633</v>
      </c>
      <c r="E22" s="32">
        <f>('Travel Impacts'!F30-'Travel Impacts'!U30)+('Travel Impacts'!N30-'Travel Impacts'!AC30)</f>
        <v>3671403.1489676572</v>
      </c>
      <c r="F22" s="33">
        <f>'Travel Impacts'!G30-'Travel Impacts'!V30</f>
        <v>6266424.748839628</v>
      </c>
      <c r="G22" s="72">
        <f>('Travel Impacts'!H30)-('Travel Impacts'!W30)</f>
        <v>11041891.846561585</v>
      </c>
      <c r="H22" s="304">
        <f>('Travel Impacts'!I30+'Travel Impacts'!J30)-('Travel Impacts'!X30+'Travel Impacts'!Y30)</f>
        <v>131116.74883492285</v>
      </c>
    </row>
    <row r="23" spans="1:8" s="26" customFormat="1">
      <c r="A23" s="35"/>
      <c r="D23" s="116">
        <f>SUM(D3:D22)</f>
        <v>183379775.50960344</v>
      </c>
      <c r="E23" s="117">
        <f>SUM(E3:E22)</f>
        <v>61233357.948918372</v>
      </c>
      <c r="F23" s="116">
        <f>SUM(F3:F22)</f>
        <v>104514327.1213766</v>
      </c>
      <c r="G23" s="117">
        <f>SUM(G3:G22)</f>
        <v>184161773.69784811</v>
      </c>
      <c r="H23" s="305">
        <f>SUM(H3:H22)</f>
        <v>2186825.7145132129</v>
      </c>
    </row>
    <row r="24" spans="1:8" s="26" customFormat="1" ht="15" thickBot="1">
      <c r="A24" s="35"/>
      <c r="D24" s="118">
        <f>D23/1000000</f>
        <v>183.37977550960343</v>
      </c>
      <c r="E24" s="119">
        <f>E23/1000000</f>
        <v>61.233357948918375</v>
      </c>
      <c r="F24" s="118">
        <f t="shared" ref="F24:G24" si="3">F23/1000000</f>
        <v>104.51432712137661</v>
      </c>
      <c r="G24" s="120">
        <f t="shared" si="3"/>
        <v>184.1617736978481</v>
      </c>
      <c r="H24" s="306">
        <f>H23/1000000</f>
        <v>2.1868257145132128</v>
      </c>
    </row>
    <row r="25" spans="1:8" s="41" customFormat="1">
      <c r="A25" s="40"/>
      <c r="D25" s="115"/>
      <c r="E25" s="42"/>
      <c r="F25" s="42"/>
      <c r="G25" s="83"/>
      <c r="H25" s="83"/>
    </row>
    <row r="26" spans="1:8" s="43" customFormat="1">
      <c r="A26" s="40"/>
      <c r="D26" s="78"/>
      <c r="E26" s="44"/>
      <c r="F26" s="83"/>
      <c r="G26" s="83"/>
      <c r="H26" s="83"/>
    </row>
    <row r="27" spans="1:8">
      <c r="D27" s="79"/>
      <c r="E27" s="79"/>
      <c r="F27" s="84"/>
      <c r="G27" s="84"/>
      <c r="H27" s="84"/>
    </row>
    <row r="29" spans="1:8" s="37" customFormat="1">
      <c r="H29" s="38"/>
    </row>
    <row r="30" spans="1:8">
      <c r="E30" s="39"/>
    </row>
    <row r="32" spans="1:8" s="47" customFormat="1">
      <c r="D32" s="49"/>
      <c r="E32" s="48"/>
      <c r="F32" s="51"/>
    </row>
    <row r="33" spans="4:6" s="45" customFormat="1">
      <c r="D33" s="50"/>
      <c r="E33" s="46"/>
      <c r="F33" s="52"/>
    </row>
    <row r="34" spans="4:6" s="45" customFormat="1">
      <c r="D34" s="50"/>
      <c r="E34" s="4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64"/>
  <sheetViews>
    <sheetView zoomScale="90" zoomScaleNormal="90" workbookViewId="0">
      <selection activeCell="E11" sqref="E11"/>
    </sheetView>
  </sheetViews>
  <sheetFormatPr defaultRowHeight="14.4"/>
  <cols>
    <col min="1" max="1" width="5.21875" bestFit="1" customWidth="1"/>
    <col min="2" max="3" width="12.77734375" customWidth="1"/>
    <col min="4" max="4" width="7.33203125" style="1" bestFit="1" customWidth="1"/>
    <col min="5" max="6" width="12.77734375" style="1" customWidth="1"/>
    <col min="7" max="8" width="15" customWidth="1"/>
    <col min="9" max="10" width="12.77734375" customWidth="1"/>
    <col min="11" max="14" width="14.21875" style="1" customWidth="1"/>
    <col min="15" max="15" width="5.109375" style="1" customWidth="1"/>
    <col min="16" max="16" width="5.5546875" bestFit="1" customWidth="1"/>
    <col min="17" max="17" width="12.77734375" style="1" customWidth="1"/>
    <col min="18" max="18" width="15.5546875" style="1" customWidth="1"/>
    <col min="19" max="19" width="7.33203125" style="1" bestFit="1" customWidth="1"/>
    <col min="20" max="20" width="17.44140625" style="1" customWidth="1"/>
    <col min="21" max="21" width="16.77734375" style="1" customWidth="1"/>
    <col min="22" max="22" width="14.5546875" style="1" customWidth="1"/>
    <col min="23" max="23" width="13.21875" style="1" bestFit="1" customWidth="1"/>
    <col min="24" max="25" width="12.77734375" style="1" customWidth="1"/>
    <col min="26" max="29" width="14.21875" style="1" customWidth="1"/>
    <col min="30" max="30" width="14.77734375" style="1" bestFit="1" customWidth="1"/>
    <col min="31" max="31" width="8.77734375" style="1" bestFit="1" customWidth="1"/>
    <col min="32" max="34" width="10.44140625" bestFit="1" customWidth="1"/>
    <col min="35" max="35" width="12.21875" customWidth="1"/>
    <col min="36" max="36" width="10.77734375" customWidth="1"/>
  </cols>
  <sheetData>
    <row r="1" spans="1:36">
      <c r="B1" s="12" t="s">
        <v>15</v>
      </c>
      <c r="G1" s="1"/>
      <c r="H1" s="1"/>
      <c r="O1" s="335"/>
      <c r="P1" s="37"/>
      <c r="Q1" s="12" t="s">
        <v>14</v>
      </c>
    </row>
    <row r="2" spans="1:36">
      <c r="I2" s="6" t="s">
        <v>8</v>
      </c>
      <c r="J2" s="6" t="s">
        <v>11</v>
      </c>
      <c r="K2" s="17"/>
      <c r="O2" s="335"/>
      <c r="P2" s="37"/>
      <c r="W2" s="6" t="s">
        <v>8</v>
      </c>
      <c r="X2" s="6" t="s">
        <v>11</v>
      </c>
    </row>
    <row r="3" spans="1:36">
      <c r="B3" s="21">
        <f>Discounting!E2</f>
        <v>2023</v>
      </c>
      <c r="C3" t="s">
        <v>10</v>
      </c>
      <c r="E3" s="21"/>
      <c r="F3" s="21"/>
      <c r="H3" s="23" t="s">
        <v>3</v>
      </c>
      <c r="I3" s="61">
        <f>Defaults!B4</f>
        <v>1</v>
      </c>
      <c r="J3" s="244">
        <f>Defaults!B5</f>
        <v>1.67</v>
      </c>
      <c r="K3" s="1" t="s">
        <v>4</v>
      </c>
      <c r="O3" s="335"/>
      <c r="P3" s="37"/>
      <c r="T3" s="21"/>
      <c r="U3" s="21"/>
      <c r="V3" s="23" t="s">
        <v>3</v>
      </c>
      <c r="W3" s="61">
        <f>Defaults!B4</f>
        <v>1</v>
      </c>
      <c r="X3" s="245">
        <f>Defaults!B5</f>
        <v>1.67</v>
      </c>
      <c r="Y3" s="21" t="s">
        <v>4</v>
      </c>
    </row>
    <row r="4" spans="1:36" ht="14.55" customHeight="1">
      <c r="B4" s="292">
        <f>IF('Inputs and Results'!C5=20%,((LOOKUP('Inputs and Results'!C4,NetworkPerformanceData!C3:C11,NetworkPerformanceData!D3:D11))*365),IF('Inputs and Results'!C5=30%,((LOOKUP('Inputs and Results'!C4,NetworkPerformanceData!H3:H11,NetworkPerformanceData!I3:I11))*365),IF('Inputs and Results'!C5=40%,((LOOKUP('Inputs and Results'!C4,NetworkPerformanceData!M3:M11,NetworkPerformanceData!N3:N11))*365),0)))</f>
        <v>446566.80955555511</v>
      </c>
      <c r="C4" s="1" t="s">
        <v>334</v>
      </c>
      <c r="E4" s="21"/>
      <c r="F4" s="21"/>
      <c r="H4" s="23" t="s">
        <v>0</v>
      </c>
      <c r="I4" s="62">
        <f>Defaults!B2</f>
        <v>29.5</v>
      </c>
      <c r="J4" s="62">
        <f>Defaults!B3</f>
        <v>16.600000000000001</v>
      </c>
      <c r="K4" s="1" t="s">
        <v>336</v>
      </c>
      <c r="O4" s="335"/>
      <c r="P4" s="37"/>
      <c r="Q4" s="292">
        <f>IF('Inputs and Results'!C5=20%, (SUMPRODUCT((NetworkPerformanceData!B3:B74='Inputs and Results'!C3)*((NetworkPerformanceData!C3:C74='Inputs and Results'!C4)*(NetworkPerformanceData!D3:D74))*365)),IF('Inputs and Results'!C5=30%, (SUMPRODUCT((NetworkPerformanceData!G3:G74='Inputs and Results'!C3)*((NetworkPerformanceData!H3:H74='Inputs and Results'!C4)*(NetworkPerformanceData!I3:I74))*365)),IF('Inputs and Results'!C5=40%, (SUMPRODUCT((NetworkPerformanceData!L3:L74='Inputs and Results'!C3)*((NetworkPerformanceData!M3:M74='Inputs and Results'!C4)*(NetworkPerformanceData!N3:N74))*365)),0)))</f>
        <v>173156.00912500001</v>
      </c>
      <c r="R4" s="1" t="s">
        <v>334</v>
      </c>
      <c r="T4" s="21"/>
      <c r="U4" s="21"/>
      <c r="V4" s="23" t="s">
        <v>0</v>
      </c>
      <c r="W4" s="62">
        <f>Defaults!B2</f>
        <v>29.5</v>
      </c>
      <c r="X4" s="62">
        <f>Defaults!B3</f>
        <v>16.600000000000001</v>
      </c>
      <c r="Y4" s="21" t="s">
        <v>19</v>
      </c>
    </row>
    <row r="5" spans="1:36" ht="14.55" customHeight="1">
      <c r="A5" s="15"/>
      <c r="B5" s="292">
        <f>IF('Inputs and Results'!C5=20%,((LOOKUP('Inputs and Results'!C4,NetworkPerformanceData!C3:C11,NetworkPerformanceData!E3:E11))*365),IF('Inputs and Results'!C5=30%,((LOOKUP('Inputs and Results'!C4,NetworkPerformanceData!H3:H11,NetworkPerformanceData!J3:J11))*365),IF('Inputs and Results'!C5=40%,((LOOKUP('Inputs and Results'!C4,NetworkPerformanceData!M3:M11,NetworkPerformanceData!O3:O11))*365),0)))</f>
        <v>225613.88820833343</v>
      </c>
      <c r="C5" s="1" t="s">
        <v>335</v>
      </c>
      <c r="E5" s="21"/>
      <c r="F5" s="21"/>
      <c r="H5" s="23" t="s">
        <v>22</v>
      </c>
      <c r="I5" s="62">
        <f>Defaults!B7</f>
        <v>0.48311506999999998</v>
      </c>
      <c r="J5" s="62">
        <f>Defaults!B8</f>
        <v>7.1534799999999996E-2</v>
      </c>
      <c r="K5" s="1" t="s">
        <v>22</v>
      </c>
      <c r="O5" s="335"/>
      <c r="P5" s="37"/>
      <c r="Q5" s="292">
        <f>IF('Inputs and Results'!C5=20%, (SUMPRODUCT((NetworkPerformanceData!B3:B74='Inputs and Results'!C3)*((NetworkPerformanceData!C3:C74='Inputs and Results'!C4)*(NetworkPerformanceData!E3:E74))*365)),IF('Inputs and Results'!C5=30%, (SUMPRODUCT((NetworkPerformanceData!G3:G74='Inputs and Results'!C3)*((NetworkPerformanceData!H3:H74='Inputs and Results'!C4)*(NetworkPerformanceData!J3:J74))*365)),IF('Inputs and Results'!C5=40%, (SUMPRODUCT((NetworkPerformanceData!L3:L74='Inputs and Results'!C3)*((NetworkPerformanceData!M3:M74='Inputs and Results'!C4)*(NetworkPerformanceData!O3:O74))*365)),0)))</f>
        <v>79801.457652777943</v>
      </c>
      <c r="R5" s="1" t="s">
        <v>335</v>
      </c>
      <c r="T5" s="21"/>
      <c r="U5" s="21"/>
      <c r="V5" s="23" t="s">
        <v>22</v>
      </c>
      <c r="W5" s="62">
        <f>Defaults!B7</f>
        <v>0.48311506999999998</v>
      </c>
      <c r="X5" s="62">
        <f>Defaults!B8</f>
        <v>7.1534799999999996E-2</v>
      </c>
      <c r="Y5" s="21" t="s">
        <v>22</v>
      </c>
    </row>
    <row r="6" spans="1:36" ht="14.55" customHeight="1">
      <c r="A6" s="15"/>
      <c r="B6" s="329">
        <f>'Inputs and Results'!C6</f>
        <v>0.02</v>
      </c>
      <c r="C6" s="1" t="s">
        <v>332</v>
      </c>
      <c r="E6" s="21"/>
      <c r="F6" s="21"/>
      <c r="H6" s="23" t="str">
        <f>Defaults!A9</f>
        <v>Vehicle Operating Cost ($/hr) (Passenger)</v>
      </c>
      <c r="I6" s="63">
        <f>Defaults!B10</f>
        <v>24.11</v>
      </c>
      <c r="J6" s="62">
        <f>Defaults!B9</f>
        <v>4.9169999999999998</v>
      </c>
      <c r="K6" s="1" t="str">
        <f>Defaults!A9</f>
        <v>Vehicle Operating Cost ($/hr) (Passenger)</v>
      </c>
      <c r="O6" s="335"/>
      <c r="P6" s="37"/>
      <c r="Q6" s="329">
        <f>'Inputs and Results'!C6</f>
        <v>0.02</v>
      </c>
      <c r="R6" s="1" t="s">
        <v>332</v>
      </c>
      <c r="U6" s="21"/>
      <c r="V6" s="23" t="str">
        <f>Defaults!A10</f>
        <v>Vehicle Operating Cost ($/hr) (Truck)</v>
      </c>
      <c r="W6" s="62">
        <f>Defaults!B10</f>
        <v>24.11</v>
      </c>
      <c r="X6" s="62">
        <f>Defaults!B9</f>
        <v>4.9169999999999998</v>
      </c>
      <c r="Y6" s="21" t="str">
        <f>Defaults!A9</f>
        <v>Vehicle Operating Cost ($/hr) (Passenger)</v>
      </c>
    </row>
    <row r="7" spans="1:36" s="1" customFormat="1" ht="14.55" customHeight="1">
      <c r="A7" s="21"/>
      <c r="E7" s="21"/>
      <c r="F7" s="21"/>
      <c r="H7" s="21"/>
      <c r="I7" s="243"/>
      <c r="J7" s="21"/>
      <c r="O7" s="335"/>
      <c r="P7" s="37"/>
      <c r="U7" s="21"/>
      <c r="V7" s="23"/>
      <c r="W7" s="9"/>
      <c r="X7" s="21"/>
      <c r="Y7" s="21"/>
    </row>
    <row r="8" spans="1:36" s="1" customFormat="1">
      <c r="A8" s="135"/>
      <c r="E8" s="21"/>
      <c r="F8" s="21"/>
      <c r="H8" s="21"/>
      <c r="I8" s="242"/>
      <c r="J8" s="21"/>
      <c r="O8" s="335"/>
      <c r="P8" s="37"/>
      <c r="T8" s="21"/>
      <c r="U8" s="21"/>
      <c r="V8" s="21"/>
      <c r="W8" s="9"/>
      <c r="X8" s="242"/>
      <c r="Y8" s="21"/>
    </row>
    <row r="9" spans="1:36" s="2" customFormat="1" ht="14.55" customHeight="1">
      <c r="B9" s="443" t="s">
        <v>333</v>
      </c>
      <c r="C9" s="443"/>
      <c r="D9" s="174"/>
      <c r="E9" s="443" t="s">
        <v>36</v>
      </c>
      <c r="F9" s="443"/>
      <c r="G9" s="443" t="s">
        <v>12</v>
      </c>
      <c r="H9" s="443"/>
      <c r="I9" s="443" t="s">
        <v>13</v>
      </c>
      <c r="J9" s="443"/>
      <c r="K9" s="443" t="s">
        <v>34</v>
      </c>
      <c r="L9" s="443"/>
      <c r="M9" s="444" t="s">
        <v>82</v>
      </c>
      <c r="N9" s="444"/>
      <c r="O9" s="336"/>
      <c r="Q9" s="443" t="s">
        <v>83</v>
      </c>
      <c r="R9" s="443"/>
      <c r="S9" s="174"/>
      <c r="T9" s="443" t="s">
        <v>35</v>
      </c>
      <c r="U9" s="443"/>
      <c r="V9" s="443" t="s">
        <v>12</v>
      </c>
      <c r="W9" s="443"/>
      <c r="X9" s="443" t="s">
        <v>13</v>
      </c>
      <c r="Y9" s="443"/>
      <c r="Z9" s="443" t="s">
        <v>34</v>
      </c>
      <c r="AA9" s="443"/>
      <c r="AB9" s="66"/>
      <c r="AC9" s="66"/>
      <c r="AE9" s="445"/>
      <c r="AF9" s="445"/>
      <c r="AG9" s="445"/>
      <c r="AH9" s="445"/>
      <c r="AI9" s="445"/>
    </row>
    <row r="10" spans="1:36" s="11" customFormat="1">
      <c r="B10" s="11" t="s">
        <v>8</v>
      </c>
      <c r="C10" s="11" t="s">
        <v>11</v>
      </c>
      <c r="D10" s="174" t="s">
        <v>95</v>
      </c>
      <c r="E10" s="18" t="s">
        <v>8</v>
      </c>
      <c r="F10" s="18" t="s">
        <v>11</v>
      </c>
      <c r="G10" s="14" t="s">
        <v>8</v>
      </c>
      <c r="H10" s="11" t="s">
        <v>11</v>
      </c>
      <c r="I10" s="11" t="s">
        <v>8</v>
      </c>
      <c r="J10" s="11" t="s">
        <v>11</v>
      </c>
      <c r="K10" s="64" t="s">
        <v>8</v>
      </c>
      <c r="L10" s="64" t="s">
        <v>11</v>
      </c>
      <c r="M10" s="64" t="s">
        <v>8</v>
      </c>
      <c r="N10" s="64" t="s">
        <v>11</v>
      </c>
      <c r="O10" s="337"/>
      <c r="Q10" s="11" t="s">
        <v>8</v>
      </c>
      <c r="R10" s="11" t="s">
        <v>11</v>
      </c>
      <c r="S10" s="174" t="s">
        <v>95</v>
      </c>
      <c r="T10" s="18" t="s">
        <v>8</v>
      </c>
      <c r="U10" s="18" t="s">
        <v>11</v>
      </c>
      <c r="V10" s="14" t="s">
        <v>8</v>
      </c>
      <c r="W10" s="11" t="s">
        <v>11</v>
      </c>
      <c r="X10" s="11" t="s">
        <v>8</v>
      </c>
      <c r="Y10" s="11" t="s">
        <v>11</v>
      </c>
      <c r="Z10" s="64" t="s">
        <v>8</v>
      </c>
      <c r="AA10" s="64" t="s">
        <v>11</v>
      </c>
      <c r="AB10" s="64" t="s">
        <v>8</v>
      </c>
      <c r="AC10" s="64" t="s">
        <v>11</v>
      </c>
      <c r="AE10" s="16"/>
      <c r="AF10" s="7"/>
      <c r="AG10" s="16"/>
      <c r="AH10" s="16"/>
      <c r="AI10" s="7"/>
    </row>
    <row r="11" spans="1:36">
      <c r="A11" s="2">
        <f>B3</f>
        <v>2023</v>
      </c>
      <c r="B11" s="15">
        <f>B5</f>
        <v>225613.88820833343</v>
      </c>
      <c r="C11" s="15">
        <f>B4</f>
        <v>446566.80955555511</v>
      </c>
      <c r="D11" s="15"/>
      <c r="E11" s="10">
        <f>B11*$I$6</f>
        <v>5439550.844702919</v>
      </c>
      <c r="F11" s="10">
        <f t="shared" ref="F11:F30" si="0">C11*$J$6</f>
        <v>2195769.0025846646</v>
      </c>
      <c r="G11" s="5">
        <f t="shared" ref="G11:G30" si="1">($I$3*$I$4)*B11</f>
        <v>6655609.7021458363</v>
      </c>
      <c r="H11" s="5">
        <f t="shared" ref="H11:H30" si="2">(($J$3*$J$4)*C11)</f>
        <v>12379725.0944991</v>
      </c>
      <c r="I11" s="5">
        <f t="shared" ref="I11:I30" si="3">B11*I$5</f>
        <v>108997.46939474117</v>
      </c>
      <c r="J11" s="5">
        <f t="shared" ref="J11:J30" si="4">C11*J$5</f>
        <v>31945.067408194722</v>
      </c>
      <c r="K11" s="65">
        <f>B11*Defaults!B$11</f>
        <v>2220040.6599700009</v>
      </c>
      <c r="L11" s="65">
        <f>C11*Defaults!B$12</f>
        <v>817217.26148666593</v>
      </c>
      <c r="M11" s="5">
        <f>K11*Defaults!B$13</f>
        <v>6238314.2545157028</v>
      </c>
      <c r="N11" s="5">
        <f>L11*Defaults!B$14</f>
        <v>1920460.564493665</v>
      </c>
      <c r="O11" s="338"/>
      <c r="P11" s="2">
        <f>A11</f>
        <v>2023</v>
      </c>
      <c r="Q11" s="15">
        <f>Q5</f>
        <v>79801.457652777943</v>
      </c>
      <c r="R11" s="15">
        <f>Q4</f>
        <v>173156.00912500001</v>
      </c>
      <c r="S11" s="15"/>
      <c r="T11" s="10">
        <f t="shared" ref="T11:T30" si="5">Q11*$W$6</f>
        <v>1924013.1440084761</v>
      </c>
      <c r="U11" s="10">
        <f t="shared" ref="U11:U30" si="6">R11*$X$6</f>
        <v>851408.09686762502</v>
      </c>
      <c r="V11" s="5">
        <f t="shared" ref="V11:V30" si="7">($W$3*$W$4)*Q11</f>
        <v>2354143.0007569492</v>
      </c>
      <c r="W11" s="5">
        <f>($X$3*$X$4)*R11</f>
        <v>4800230.8849632507</v>
      </c>
      <c r="X11" s="5">
        <f t="shared" ref="X11:X30" si="8">Q11*$W$5</f>
        <v>38553.286800023852</v>
      </c>
      <c r="Y11" s="5">
        <f t="shared" ref="Y11:Y30" si="9">R11*$X$5</f>
        <v>12386.680481555049</v>
      </c>
      <c r="Z11" s="65">
        <f>Q11*Defaults!B$11</f>
        <v>785246.3433033349</v>
      </c>
      <c r="AA11" s="65">
        <f>R11*Defaults!B$12</f>
        <v>316875.49669875001</v>
      </c>
      <c r="AB11" s="5">
        <f>Z11*Defaults!B$13</f>
        <v>2206542.2246823711</v>
      </c>
      <c r="AC11" s="5">
        <f>AA11*Defaults!B$14</f>
        <v>744657.41724206251</v>
      </c>
      <c r="AD11"/>
      <c r="AE11" s="15"/>
      <c r="AF11" s="15"/>
      <c r="AG11" s="15"/>
      <c r="AH11" s="15"/>
      <c r="AI11" s="15"/>
      <c r="AJ11" s="22"/>
    </row>
    <row r="12" spans="1:36">
      <c r="A12" s="2">
        <f>A11+1</f>
        <v>2024</v>
      </c>
      <c r="B12" s="15">
        <f t="shared" ref="B12:B30" si="10">B11*(1+$B$6)</f>
        <v>230126.16597250011</v>
      </c>
      <c r="C12" s="15">
        <f t="shared" ref="C12:C30" si="11">C11*(1+$B$6)</f>
        <v>455498.14574666624</v>
      </c>
      <c r="D12" s="175">
        <f>(B12-B11)/B11</f>
        <v>2.0000000000000035E-2</v>
      </c>
      <c r="E12" s="10">
        <f t="shared" ref="E12:E30" si="12">B12*$I$6</f>
        <v>5548341.8615969773</v>
      </c>
      <c r="F12" s="10">
        <f t="shared" si="0"/>
        <v>2239684.382636358</v>
      </c>
      <c r="G12" s="5">
        <f t="shared" si="1"/>
        <v>6788721.8961887527</v>
      </c>
      <c r="H12" s="5">
        <f t="shared" si="2"/>
        <v>12627319.596389081</v>
      </c>
      <c r="I12" s="5">
        <f t="shared" si="3"/>
        <v>111177.418782636</v>
      </c>
      <c r="J12" s="5">
        <f t="shared" si="4"/>
        <v>32583.968756358619</v>
      </c>
      <c r="K12" s="65">
        <f>B12*Defaults!B$11</f>
        <v>2264441.4731694008</v>
      </c>
      <c r="L12" s="65">
        <f>C12*Defaults!B$12</f>
        <v>833561.6067163992</v>
      </c>
      <c r="M12" s="5">
        <f>K12*Defaults!B$13</f>
        <v>6363080.5396060161</v>
      </c>
      <c r="N12" s="5">
        <f>L12*Defaults!B$14</f>
        <v>1958869.7757835381</v>
      </c>
      <c r="O12" s="338"/>
      <c r="P12" s="2">
        <f>P11+1</f>
        <v>2024</v>
      </c>
      <c r="Q12" s="15">
        <f t="shared" ref="Q12:Q30" si="13">Q11*(1+$Q$6)</f>
        <v>81397.486805833498</v>
      </c>
      <c r="R12" s="15">
        <f t="shared" ref="R12:R30" si="14">R11*(1+$Q$6)</f>
        <v>176619.12930750003</v>
      </c>
      <c r="S12" s="175">
        <f>(R12-R11)/R11</f>
        <v>2.0000000000000098E-2</v>
      </c>
      <c r="T12" s="10">
        <f t="shared" si="5"/>
        <v>1962493.4068886456</v>
      </c>
      <c r="U12" s="10">
        <f t="shared" si="6"/>
        <v>868436.25880497764</v>
      </c>
      <c r="V12" s="5">
        <f t="shared" si="7"/>
        <v>2401225.8607720882</v>
      </c>
      <c r="W12" s="5">
        <f t="shared" ref="W12:W30" si="15">($X$3*$X$4)*R12</f>
        <v>4896235.5026625162</v>
      </c>
      <c r="X12" s="5">
        <f t="shared" si="8"/>
        <v>39324.352536024322</v>
      </c>
      <c r="Y12" s="5">
        <f t="shared" si="9"/>
        <v>12634.414091186152</v>
      </c>
      <c r="Z12" s="65">
        <f>Q12*Defaults!B$11</f>
        <v>800951.27016940166</v>
      </c>
      <c r="AA12" s="65">
        <f>R12*Defaults!B$12</f>
        <v>323213.00663272507</v>
      </c>
      <c r="AB12" s="5">
        <f>Z12*Defaults!B$13</f>
        <v>2250673.0691760187</v>
      </c>
      <c r="AC12" s="5">
        <f>AA12*Defaults!B$14</f>
        <v>759550.56558690395</v>
      </c>
      <c r="AD12"/>
      <c r="AE12" s="15"/>
      <c r="AF12" s="15"/>
      <c r="AG12" s="15"/>
      <c r="AH12" s="15"/>
      <c r="AI12" s="15"/>
      <c r="AJ12" s="24"/>
    </row>
    <row r="13" spans="1:36">
      <c r="A13" s="2">
        <f t="shared" ref="A13:A30" si="16">A12+1</f>
        <v>2025</v>
      </c>
      <c r="B13" s="15">
        <f t="shared" si="10"/>
        <v>234728.68929195011</v>
      </c>
      <c r="C13" s="15">
        <f t="shared" si="11"/>
        <v>464608.10866159957</v>
      </c>
      <c r="D13" s="175">
        <f t="shared" ref="D13:D30" si="17">(B13-B12)/B12</f>
        <v>2.0000000000000004E-2</v>
      </c>
      <c r="E13" s="10">
        <f t="shared" si="12"/>
        <v>5659308.698828917</v>
      </c>
      <c r="F13" s="10">
        <f t="shared" si="0"/>
        <v>2284478.0702890852</v>
      </c>
      <c r="G13" s="5">
        <f t="shared" si="1"/>
        <v>6924496.3341125287</v>
      </c>
      <c r="H13" s="5">
        <f t="shared" si="2"/>
        <v>12879865.988316864</v>
      </c>
      <c r="I13" s="5">
        <f t="shared" si="3"/>
        <v>113400.96715828872</v>
      </c>
      <c r="J13" s="5">
        <f t="shared" si="4"/>
        <v>33235.648131485788</v>
      </c>
      <c r="K13" s="65">
        <f>B13*Defaults!B$11</f>
        <v>2309730.3026327891</v>
      </c>
      <c r="L13" s="65">
        <f>C13*Defaults!B$12</f>
        <v>850232.8388507273</v>
      </c>
      <c r="M13" s="5">
        <f>K13*Defaults!B$13</f>
        <v>6490342.150398138</v>
      </c>
      <c r="N13" s="5">
        <f>L13*Defaults!B$14</f>
        <v>1998047.1712992094</v>
      </c>
      <c r="O13" s="338"/>
      <c r="P13" s="2">
        <f t="shared" ref="P13:P27" si="18">P12+1</f>
        <v>2025</v>
      </c>
      <c r="Q13" s="15">
        <f t="shared" si="13"/>
        <v>83025.43654195017</v>
      </c>
      <c r="R13" s="15">
        <f t="shared" si="14"/>
        <v>180151.51189365002</v>
      </c>
      <c r="S13" s="175">
        <f t="shared" ref="S13:S30" si="19">(R13-R12)/R12</f>
        <v>1.9999999999999959E-2</v>
      </c>
      <c r="T13" s="10">
        <f t="shared" si="5"/>
        <v>2001743.2750264185</v>
      </c>
      <c r="U13" s="10">
        <f t="shared" si="6"/>
        <v>885804.98398107709</v>
      </c>
      <c r="V13" s="5">
        <f t="shared" si="7"/>
        <v>2449250.3779875301</v>
      </c>
      <c r="W13" s="5">
        <f t="shared" si="15"/>
        <v>4994160.2127157664</v>
      </c>
      <c r="X13" s="5">
        <f t="shared" si="8"/>
        <v>40110.839586744813</v>
      </c>
      <c r="Y13" s="5">
        <f t="shared" si="9"/>
        <v>12887.102373009875</v>
      </c>
      <c r="Z13" s="65">
        <f>Q13*Defaults!B$11</f>
        <v>816970.29557278962</v>
      </c>
      <c r="AA13" s="65">
        <f>R13*Defaults!B$12</f>
        <v>329677.26676537958</v>
      </c>
      <c r="AB13" s="5">
        <f>Z13*Defaults!B$13</f>
        <v>2295686.5305595389</v>
      </c>
      <c r="AC13" s="5">
        <f>AA13*Defaults!B$14</f>
        <v>774741.576898642</v>
      </c>
      <c r="AE13" s="15"/>
      <c r="AF13" s="15"/>
      <c r="AG13" s="15"/>
      <c r="AH13" s="15"/>
      <c r="AI13" s="15"/>
      <c r="AJ13" s="24"/>
    </row>
    <row r="14" spans="1:36">
      <c r="A14" s="2">
        <f t="shared" si="16"/>
        <v>2026</v>
      </c>
      <c r="B14" s="15">
        <f t="shared" si="10"/>
        <v>239423.26307778913</v>
      </c>
      <c r="C14" s="15">
        <f t="shared" si="11"/>
        <v>473900.27083483158</v>
      </c>
      <c r="D14" s="175">
        <f t="shared" si="17"/>
        <v>2.0000000000000077E-2</v>
      </c>
      <c r="E14" s="10">
        <f t="shared" si="12"/>
        <v>5772494.8728054957</v>
      </c>
      <c r="F14" s="10">
        <f t="shared" si="0"/>
        <v>2330167.6316948668</v>
      </c>
      <c r="G14" s="5">
        <f t="shared" si="1"/>
        <v>7062986.2607947793</v>
      </c>
      <c r="H14" s="5">
        <f t="shared" si="2"/>
        <v>13137463.308083201</v>
      </c>
      <c r="I14" s="5">
        <f t="shared" si="3"/>
        <v>115668.98650145451</v>
      </c>
      <c r="J14" s="5">
        <f t="shared" si="4"/>
        <v>33900.361094115506</v>
      </c>
      <c r="K14" s="65">
        <f>B14*Defaults!B$11</f>
        <v>2355924.9086854449</v>
      </c>
      <c r="L14" s="65">
        <f>C14*Defaults!B$12</f>
        <v>867237.4956277418</v>
      </c>
      <c r="M14" s="5">
        <f>K14*Defaults!B$13</f>
        <v>6620148.9934061002</v>
      </c>
      <c r="N14" s="5">
        <f>L14*Defaults!B$14</f>
        <v>2038008.1147251932</v>
      </c>
      <c r="O14" s="338"/>
      <c r="P14" s="2">
        <f t="shared" si="18"/>
        <v>2026</v>
      </c>
      <c r="Q14" s="15">
        <f t="shared" si="13"/>
        <v>84685.945272789177</v>
      </c>
      <c r="R14" s="15">
        <f t="shared" si="14"/>
        <v>183754.54213152302</v>
      </c>
      <c r="S14" s="175">
        <f t="shared" si="19"/>
        <v>1.9999999999999983E-2</v>
      </c>
      <c r="T14" s="10">
        <f t="shared" si="5"/>
        <v>2041778.1405269471</v>
      </c>
      <c r="U14" s="10">
        <f t="shared" si="6"/>
        <v>903521.08366069861</v>
      </c>
      <c r="V14" s="5">
        <f t="shared" si="7"/>
        <v>2498235.3855472808</v>
      </c>
      <c r="W14" s="5">
        <f t="shared" si="15"/>
        <v>5094043.4169700816</v>
      </c>
      <c r="X14" s="5">
        <f t="shared" si="8"/>
        <v>40913.056378479712</v>
      </c>
      <c r="Y14" s="5">
        <f t="shared" si="9"/>
        <v>13144.844420470072</v>
      </c>
      <c r="Z14" s="65">
        <f>Q14*Defaults!B$11</f>
        <v>833309.70148424548</v>
      </c>
      <c r="AA14" s="65">
        <f>R14*Defaults!B$12</f>
        <v>336270.81210068712</v>
      </c>
      <c r="AB14" s="5">
        <f>Z14*Defaults!B$13</f>
        <v>2341600.26117073</v>
      </c>
      <c r="AC14" s="5">
        <f>AA14*Defaults!B$14</f>
        <v>790236.40843661479</v>
      </c>
      <c r="AE14" s="15"/>
      <c r="AF14" s="15"/>
      <c r="AG14" s="15"/>
      <c r="AH14" s="15"/>
      <c r="AI14" s="15"/>
      <c r="AJ14" s="24"/>
    </row>
    <row r="15" spans="1:36">
      <c r="A15" s="2">
        <f t="shared" si="16"/>
        <v>2027</v>
      </c>
      <c r="B15" s="15">
        <f t="shared" si="10"/>
        <v>244211.72833934493</v>
      </c>
      <c r="C15" s="15">
        <f t="shared" si="11"/>
        <v>483378.27625152824</v>
      </c>
      <c r="D15" s="175">
        <f t="shared" si="17"/>
        <v>2.0000000000000077E-2</v>
      </c>
      <c r="E15" s="10">
        <f t="shared" si="12"/>
        <v>5887944.7702616062</v>
      </c>
      <c r="F15" s="10">
        <f t="shared" si="0"/>
        <v>2376770.984328764</v>
      </c>
      <c r="G15" s="5">
        <f t="shared" si="1"/>
        <v>7204245.9860106753</v>
      </c>
      <c r="H15" s="5">
        <f t="shared" si="2"/>
        <v>13400212.574244866</v>
      </c>
      <c r="I15" s="5">
        <f t="shared" si="3"/>
        <v>117982.36623148361</v>
      </c>
      <c r="J15" s="5">
        <f t="shared" si="4"/>
        <v>34578.368315997817</v>
      </c>
      <c r="K15" s="65">
        <f>B15*Defaults!B$11</f>
        <v>2403043.4068591539</v>
      </c>
      <c r="L15" s="65">
        <f>C15*Defaults!B$12</f>
        <v>884582.24554029666</v>
      </c>
      <c r="M15" s="5">
        <f>K15*Defaults!B$13</f>
        <v>6752551.9732742226</v>
      </c>
      <c r="N15" s="5">
        <f>L15*Defaults!B$14</f>
        <v>2078768.2770196972</v>
      </c>
      <c r="O15" s="338"/>
      <c r="P15" s="2">
        <f t="shared" si="18"/>
        <v>2027</v>
      </c>
      <c r="Q15" s="15">
        <f t="shared" si="13"/>
        <v>86379.664178244959</v>
      </c>
      <c r="R15" s="15">
        <f t="shared" si="14"/>
        <v>187429.63297415347</v>
      </c>
      <c r="S15" s="175">
        <f t="shared" si="19"/>
        <v>1.9999999999999955E-2</v>
      </c>
      <c r="T15" s="10">
        <f t="shared" si="5"/>
        <v>2082613.7033374859</v>
      </c>
      <c r="U15" s="10">
        <f t="shared" si="6"/>
        <v>921591.50533391256</v>
      </c>
      <c r="V15" s="5">
        <f t="shared" si="7"/>
        <v>2548200.0932582263</v>
      </c>
      <c r="W15" s="5">
        <f t="shared" si="15"/>
        <v>5195924.2853094824</v>
      </c>
      <c r="X15" s="5">
        <f t="shared" si="8"/>
        <v>41731.317506049301</v>
      </c>
      <c r="Y15" s="5">
        <f t="shared" si="9"/>
        <v>13407.741308879473</v>
      </c>
      <c r="Z15" s="65">
        <f>Q15*Defaults!B$11</f>
        <v>849975.89551393036</v>
      </c>
      <c r="AA15" s="65">
        <f>R15*Defaults!B$12</f>
        <v>342996.22834270087</v>
      </c>
      <c r="AB15" s="5">
        <f>Z15*Defaults!B$13</f>
        <v>2388432.2663941444</v>
      </c>
      <c r="AC15" s="5">
        <f>AA15*Defaults!B$14</f>
        <v>806041.13660534704</v>
      </c>
      <c r="AE15" s="15"/>
      <c r="AF15" s="15"/>
      <c r="AG15" s="15"/>
      <c r="AH15" s="15"/>
      <c r="AI15" s="15"/>
      <c r="AJ15" s="24"/>
    </row>
    <row r="16" spans="1:36">
      <c r="A16" s="2">
        <f t="shared" si="16"/>
        <v>2028</v>
      </c>
      <c r="B16" s="15">
        <f t="shared" si="10"/>
        <v>249095.96290613184</v>
      </c>
      <c r="C16" s="15">
        <f t="shared" si="11"/>
        <v>493045.84177655884</v>
      </c>
      <c r="D16" s="175">
        <f t="shared" si="17"/>
        <v>2.0000000000000042E-2</v>
      </c>
      <c r="E16" s="10">
        <f t="shared" si="12"/>
        <v>6005703.6656668382</v>
      </c>
      <c r="F16" s="10">
        <f t="shared" si="0"/>
        <v>2424306.4040153399</v>
      </c>
      <c r="G16" s="5">
        <f t="shared" si="1"/>
        <v>7348330.9057308892</v>
      </c>
      <c r="H16" s="5">
        <f t="shared" si="2"/>
        <v>13668216.825729765</v>
      </c>
      <c r="I16" s="5">
        <f t="shared" si="3"/>
        <v>120342.01355611328</v>
      </c>
      <c r="J16" s="5">
        <f t="shared" si="4"/>
        <v>35269.93568231778</v>
      </c>
      <c r="K16" s="65">
        <f>B16*Defaults!B$11</f>
        <v>2451104.2749963375</v>
      </c>
      <c r="L16" s="65">
        <f>C16*Defaults!B$12</f>
        <v>902273.89045110275</v>
      </c>
      <c r="M16" s="5">
        <f>K16*Defaults!B$13</f>
        <v>6887603.0127397086</v>
      </c>
      <c r="N16" s="5">
        <f>L16*Defaults!B$14</f>
        <v>2120343.6425600913</v>
      </c>
      <c r="O16" s="338"/>
      <c r="P16" s="2">
        <f t="shared" si="18"/>
        <v>2028</v>
      </c>
      <c r="Q16" s="15">
        <f t="shared" si="13"/>
        <v>88107.257461809859</v>
      </c>
      <c r="R16" s="15">
        <f t="shared" si="14"/>
        <v>191178.22563363655</v>
      </c>
      <c r="S16" s="175">
        <f t="shared" si="19"/>
        <v>2.0000000000000066E-2</v>
      </c>
      <c r="T16" s="10">
        <f t="shared" si="5"/>
        <v>2124265.9774042359</v>
      </c>
      <c r="U16" s="10">
        <f t="shared" si="6"/>
        <v>940023.33544059086</v>
      </c>
      <c r="V16" s="5">
        <f t="shared" si="7"/>
        <v>2599164.0951233907</v>
      </c>
      <c r="W16" s="5">
        <f t="shared" si="15"/>
        <v>5299842.7710156729</v>
      </c>
      <c r="X16" s="5">
        <f t="shared" si="8"/>
        <v>42565.943856170292</v>
      </c>
      <c r="Y16" s="5">
        <f t="shared" si="9"/>
        <v>13675.896135057063</v>
      </c>
      <c r="Z16" s="65">
        <f>Q16*Defaults!B$11</f>
        <v>866975.41342420899</v>
      </c>
      <c r="AA16" s="65">
        <f>R16*Defaults!B$12</f>
        <v>349856.15290955489</v>
      </c>
      <c r="AB16" s="5">
        <f>Z16*Defaults!B$13</f>
        <v>2436200.9117220272</v>
      </c>
      <c r="AC16" s="5">
        <f>AA16*Defaults!B$14</f>
        <v>822161.95933745406</v>
      </c>
      <c r="AE16" s="10"/>
      <c r="AF16" s="10"/>
      <c r="AG16" s="10"/>
      <c r="AH16" s="10"/>
      <c r="AI16" s="10"/>
      <c r="AJ16" s="24"/>
    </row>
    <row r="17" spans="1:36">
      <c r="A17" s="2">
        <f t="shared" si="16"/>
        <v>2029</v>
      </c>
      <c r="B17" s="15">
        <f t="shared" si="10"/>
        <v>254077.88216425449</v>
      </c>
      <c r="C17" s="15">
        <f t="shared" si="11"/>
        <v>502906.75861209002</v>
      </c>
      <c r="D17" s="175">
        <f t="shared" si="17"/>
        <v>2.0000000000000063E-2</v>
      </c>
      <c r="E17" s="10">
        <f t="shared" si="12"/>
        <v>6125817.7389801759</v>
      </c>
      <c r="F17" s="10">
        <f t="shared" si="0"/>
        <v>2472792.5320956465</v>
      </c>
      <c r="G17" s="5">
        <f t="shared" si="1"/>
        <v>7495297.5238455078</v>
      </c>
      <c r="H17" s="5">
        <f t="shared" si="2"/>
        <v>13941581.162244361</v>
      </c>
      <c r="I17" s="5">
        <f t="shared" si="3"/>
        <v>122748.85382723555</v>
      </c>
      <c r="J17" s="5">
        <f t="shared" si="4"/>
        <v>35975.334395964135</v>
      </c>
      <c r="K17" s="65">
        <f>B17*Defaults!B$11</f>
        <v>2500126.360496264</v>
      </c>
      <c r="L17" s="65">
        <f>C17*Defaults!B$12</f>
        <v>920319.36826012481</v>
      </c>
      <c r="M17" s="5">
        <f>K17*Defaults!B$13</f>
        <v>7025355.0729945023</v>
      </c>
      <c r="N17" s="5">
        <f>L17*Defaults!B$14</f>
        <v>2162750.5154112936</v>
      </c>
      <c r="O17" s="338"/>
      <c r="P17" s="2">
        <f t="shared" si="18"/>
        <v>2029</v>
      </c>
      <c r="Q17" s="15">
        <f t="shared" si="13"/>
        <v>89869.402611046055</v>
      </c>
      <c r="R17" s="15">
        <f t="shared" si="14"/>
        <v>195001.7901463093</v>
      </c>
      <c r="S17" s="175">
        <f t="shared" si="19"/>
        <v>2.0000000000000084E-2</v>
      </c>
      <c r="T17" s="10">
        <f t="shared" si="5"/>
        <v>2166751.2969523203</v>
      </c>
      <c r="U17" s="10">
        <f t="shared" si="6"/>
        <v>958823.80214940279</v>
      </c>
      <c r="V17" s="5">
        <f t="shared" si="7"/>
        <v>2651147.3770258585</v>
      </c>
      <c r="W17" s="5">
        <f t="shared" si="15"/>
        <v>5405839.6264359867</v>
      </c>
      <c r="X17" s="5">
        <f t="shared" si="8"/>
        <v>43417.262733293697</v>
      </c>
      <c r="Y17" s="5">
        <f t="shared" si="9"/>
        <v>13949.414057758206</v>
      </c>
      <c r="Z17" s="65">
        <f>Q17*Defaults!B$11</f>
        <v>884314.92169269314</v>
      </c>
      <c r="AA17" s="65">
        <f>R17*Defaults!B$12</f>
        <v>356853.27596774604</v>
      </c>
      <c r="AB17" s="5">
        <f>Z17*Defaults!B$13</f>
        <v>2484924.9299564678</v>
      </c>
      <c r="AC17" s="5">
        <f>AA17*Defaults!B$14</f>
        <v>838605.19852420327</v>
      </c>
      <c r="AE17" s="10"/>
      <c r="AF17" s="10"/>
      <c r="AG17" s="10"/>
      <c r="AH17" s="10"/>
      <c r="AI17" s="10"/>
      <c r="AJ17" s="24"/>
    </row>
    <row r="18" spans="1:36">
      <c r="A18" s="2">
        <f t="shared" si="16"/>
        <v>2030</v>
      </c>
      <c r="B18" s="15">
        <f t="shared" si="10"/>
        <v>259159.4398075396</v>
      </c>
      <c r="C18" s="15">
        <f t="shared" si="11"/>
        <v>512964.89378433186</v>
      </c>
      <c r="D18" s="175">
        <f t="shared" si="17"/>
        <v>2.0000000000000073E-2</v>
      </c>
      <c r="E18" s="10">
        <f t="shared" si="12"/>
        <v>6248334.0937597798</v>
      </c>
      <c r="F18" s="10">
        <f t="shared" si="0"/>
        <v>2522248.3827375597</v>
      </c>
      <c r="G18" s="5">
        <f t="shared" si="1"/>
        <v>7645203.4743224187</v>
      </c>
      <c r="H18" s="5">
        <f t="shared" si="2"/>
        <v>14220412.785489248</v>
      </c>
      <c r="I18" s="5">
        <f t="shared" si="3"/>
        <v>125203.83090378028</v>
      </c>
      <c r="J18" s="5">
        <f t="shared" si="4"/>
        <v>36694.841083883417</v>
      </c>
      <c r="K18" s="65">
        <f>B18*Defaults!B$11</f>
        <v>2550128.8877061894</v>
      </c>
      <c r="L18" s="65">
        <f>C18*Defaults!B$12</f>
        <v>938725.75562532735</v>
      </c>
      <c r="M18" s="5">
        <f>K18*Defaults!B$13</f>
        <v>7165862.1744543919</v>
      </c>
      <c r="N18" s="5">
        <f>L18*Defaults!B$14</f>
        <v>2206005.5257195192</v>
      </c>
      <c r="O18" s="338"/>
      <c r="P18" s="2">
        <f t="shared" si="18"/>
        <v>2030</v>
      </c>
      <c r="Q18" s="15">
        <f t="shared" si="13"/>
        <v>91666.790663266976</v>
      </c>
      <c r="R18" s="15">
        <f t="shared" si="14"/>
        <v>198901.8259492355</v>
      </c>
      <c r="S18" s="175">
        <f t="shared" si="19"/>
        <v>2.0000000000000066E-2</v>
      </c>
      <c r="T18" s="10">
        <f t="shared" si="5"/>
        <v>2210086.3228913667</v>
      </c>
      <c r="U18" s="10">
        <f t="shared" si="6"/>
        <v>978000.27819239092</v>
      </c>
      <c r="V18" s="5">
        <f t="shared" si="7"/>
        <v>2704170.3245663759</v>
      </c>
      <c r="W18" s="5">
        <f t="shared" si="15"/>
        <v>5513956.4189647064</v>
      </c>
      <c r="X18" s="5">
        <f t="shared" si="8"/>
        <v>44285.607987959571</v>
      </c>
      <c r="Y18" s="5">
        <f t="shared" si="9"/>
        <v>14228.402338913371</v>
      </c>
      <c r="Z18" s="65">
        <f>Q18*Defaults!B$11</f>
        <v>902001.22012654704</v>
      </c>
      <c r="AA18" s="65">
        <f>R18*Defaults!B$12</f>
        <v>363990.34148710099</v>
      </c>
      <c r="AB18" s="5">
        <f>Z18*Defaults!B$13</f>
        <v>2534623.4285555971</v>
      </c>
      <c r="AC18" s="5">
        <f>AA18*Defaults!B$14</f>
        <v>855377.30249468738</v>
      </c>
      <c r="AE18" s="10"/>
      <c r="AF18" s="10"/>
      <c r="AG18" s="10"/>
      <c r="AH18" s="10"/>
      <c r="AI18" s="10"/>
      <c r="AJ18" s="24"/>
    </row>
    <row r="19" spans="1:36">
      <c r="A19" s="2">
        <f t="shared" si="16"/>
        <v>2031</v>
      </c>
      <c r="B19" s="15">
        <f t="shared" si="10"/>
        <v>264342.62860369042</v>
      </c>
      <c r="C19" s="15">
        <f t="shared" si="11"/>
        <v>523224.19166001852</v>
      </c>
      <c r="D19" s="175">
        <f t="shared" si="17"/>
        <v>2.0000000000000101E-2</v>
      </c>
      <c r="E19" s="10">
        <f t="shared" si="12"/>
        <v>6373300.7756349761</v>
      </c>
      <c r="F19" s="10">
        <f t="shared" si="0"/>
        <v>2572693.3503923109</v>
      </c>
      <c r="G19" s="5">
        <f t="shared" si="1"/>
        <v>7798107.5438088672</v>
      </c>
      <c r="H19" s="5">
        <f t="shared" si="2"/>
        <v>14504821.041199034</v>
      </c>
      <c r="I19" s="5">
        <f t="shared" si="3"/>
        <v>127707.9075218559</v>
      </c>
      <c r="J19" s="5">
        <f t="shared" si="4"/>
        <v>37428.737905561087</v>
      </c>
      <c r="K19" s="65">
        <f>B19*Defaults!B$11</f>
        <v>2601131.4654603135</v>
      </c>
      <c r="L19" s="65">
        <f>C19*Defaults!B$12</f>
        <v>957500.27073783393</v>
      </c>
      <c r="M19" s="5">
        <f>K19*Defaults!B$13</f>
        <v>7309179.4179434814</v>
      </c>
      <c r="N19" s="5">
        <f>L19*Defaults!B$14</f>
        <v>2250125.63623391</v>
      </c>
      <c r="O19" s="338"/>
      <c r="P19" s="2">
        <f t="shared" si="18"/>
        <v>2031</v>
      </c>
      <c r="Q19" s="15">
        <f t="shared" si="13"/>
        <v>93500.126476532314</v>
      </c>
      <c r="R19" s="15">
        <f t="shared" si="14"/>
        <v>202879.86246822021</v>
      </c>
      <c r="S19" s="175">
        <f t="shared" si="19"/>
        <v>1.9999999999999987E-2</v>
      </c>
      <c r="T19" s="10">
        <f t="shared" si="5"/>
        <v>2254288.0493491939</v>
      </c>
      <c r="U19" s="10">
        <f t="shared" si="6"/>
        <v>997560.28375623876</v>
      </c>
      <c r="V19" s="5">
        <f t="shared" si="7"/>
        <v>2758253.7310577035</v>
      </c>
      <c r="W19" s="5">
        <f t="shared" si="15"/>
        <v>5624235.547344001</v>
      </c>
      <c r="X19" s="5">
        <f t="shared" si="8"/>
        <v>45171.320147718761</v>
      </c>
      <c r="Y19" s="5">
        <f t="shared" si="9"/>
        <v>14512.970385691639</v>
      </c>
      <c r="Z19" s="65">
        <f>Q19*Defaults!B$11</f>
        <v>920041.2445290779</v>
      </c>
      <c r="AA19" s="65">
        <f>R19*Defaults!B$12</f>
        <v>371270.14831684297</v>
      </c>
      <c r="AB19" s="5">
        <f>Z19*Defaults!B$13</f>
        <v>2585315.8971267091</v>
      </c>
      <c r="AC19" s="5">
        <f>AA19*Defaults!B$14</f>
        <v>872484.84854458098</v>
      </c>
      <c r="AE19" s="10"/>
      <c r="AF19" s="10"/>
      <c r="AG19" s="10"/>
      <c r="AH19" s="10"/>
      <c r="AI19" s="10"/>
      <c r="AJ19" s="24"/>
    </row>
    <row r="20" spans="1:36">
      <c r="A20" s="2">
        <f t="shared" si="16"/>
        <v>2032</v>
      </c>
      <c r="B20" s="15">
        <f t="shared" si="10"/>
        <v>269629.48117576423</v>
      </c>
      <c r="C20" s="15">
        <f t="shared" si="11"/>
        <v>533688.67549321894</v>
      </c>
      <c r="D20" s="175">
        <f t="shared" si="17"/>
        <v>2.0000000000000007E-2</v>
      </c>
      <c r="E20" s="10">
        <f t="shared" si="12"/>
        <v>6500766.7911476754</v>
      </c>
      <c r="F20" s="10">
        <f t="shared" si="0"/>
        <v>2624147.2174001574</v>
      </c>
      <c r="G20" s="5">
        <f t="shared" si="1"/>
        <v>7954069.6946850447</v>
      </c>
      <c r="H20" s="5">
        <f t="shared" si="2"/>
        <v>14794917.462023016</v>
      </c>
      <c r="I20" s="5">
        <f t="shared" si="3"/>
        <v>130262.06567229301</v>
      </c>
      <c r="J20" s="5">
        <f t="shared" si="4"/>
        <v>38177.312663672317</v>
      </c>
      <c r="K20" s="65">
        <f>B20*Defaults!B$11</f>
        <v>2653154.0947695202</v>
      </c>
      <c r="L20" s="65">
        <f>C20*Defaults!B$12</f>
        <v>976650.27615259064</v>
      </c>
      <c r="M20" s="5">
        <f>K20*Defaults!B$13</f>
        <v>7455363.0063023521</v>
      </c>
      <c r="N20" s="5">
        <f>L20*Defaults!B$14</f>
        <v>2295128.148958588</v>
      </c>
      <c r="O20" s="338"/>
      <c r="P20" s="2">
        <f t="shared" si="18"/>
        <v>2032</v>
      </c>
      <c r="Q20" s="15">
        <f t="shared" si="13"/>
        <v>95370.129006062969</v>
      </c>
      <c r="R20" s="15">
        <f t="shared" si="14"/>
        <v>206937.45971758463</v>
      </c>
      <c r="S20" s="175">
        <f t="shared" si="19"/>
        <v>2.0000000000000091E-2</v>
      </c>
      <c r="T20" s="10">
        <f t="shared" si="5"/>
        <v>2299373.8103361782</v>
      </c>
      <c r="U20" s="10">
        <f t="shared" si="6"/>
        <v>1017511.4894313635</v>
      </c>
      <c r="V20" s="5">
        <f t="shared" si="7"/>
        <v>2813418.8056788575</v>
      </c>
      <c r="W20" s="5">
        <f t="shared" si="15"/>
        <v>5736720.2582908813</v>
      </c>
      <c r="X20" s="5">
        <f t="shared" si="8"/>
        <v>46074.746550673139</v>
      </c>
      <c r="Y20" s="5">
        <f t="shared" si="9"/>
        <v>14803.229793405471</v>
      </c>
      <c r="Z20" s="65">
        <f>Q20*Defaults!B$11</f>
        <v>938442.06941965956</v>
      </c>
      <c r="AA20" s="65">
        <f>R20*Defaults!B$12</f>
        <v>378695.5512831799</v>
      </c>
      <c r="AB20" s="5">
        <f>Z20*Defaults!B$13</f>
        <v>2637022.2150692432</v>
      </c>
      <c r="AC20" s="5">
        <f>AA20*Defaults!B$14</f>
        <v>889934.54551547277</v>
      </c>
      <c r="AE20" s="10"/>
      <c r="AF20" s="10"/>
      <c r="AG20" s="10"/>
      <c r="AH20" s="10"/>
      <c r="AI20" s="10"/>
      <c r="AJ20" s="24"/>
    </row>
    <row r="21" spans="1:36">
      <c r="A21" s="2">
        <f t="shared" si="16"/>
        <v>2033</v>
      </c>
      <c r="B21" s="15">
        <f t="shared" si="10"/>
        <v>275022.07079927949</v>
      </c>
      <c r="C21" s="15">
        <f t="shared" si="11"/>
        <v>544362.44900308328</v>
      </c>
      <c r="D21" s="175">
        <f t="shared" si="17"/>
        <v>1.9999999999999914E-2</v>
      </c>
      <c r="E21" s="10">
        <f t="shared" si="12"/>
        <v>6630782.1269706283</v>
      </c>
      <c r="F21" s="10">
        <f t="shared" si="0"/>
        <v>2676630.1617481606</v>
      </c>
      <c r="G21" s="5">
        <f t="shared" si="1"/>
        <v>8113151.0885787448</v>
      </c>
      <c r="H21" s="5">
        <f t="shared" si="2"/>
        <v>15090815.811263476</v>
      </c>
      <c r="I21" s="5">
        <f t="shared" si="3"/>
        <v>132867.30698573886</v>
      </c>
      <c r="J21" s="5">
        <f t="shared" si="4"/>
        <v>38940.858916945763</v>
      </c>
      <c r="K21" s="65">
        <f>B21*Defaults!B$11</f>
        <v>2706217.1766649103</v>
      </c>
      <c r="L21" s="65">
        <f>C21*Defaults!B$12</f>
        <v>996183.28167564247</v>
      </c>
      <c r="M21" s="5">
        <f>K21*Defaults!B$13</f>
        <v>7604470.266428398</v>
      </c>
      <c r="N21" s="5">
        <f>L21*Defaults!B$14</f>
        <v>2341030.71193776</v>
      </c>
      <c r="O21" s="338"/>
      <c r="P21" s="2">
        <f t="shared" si="18"/>
        <v>2033</v>
      </c>
      <c r="Q21" s="15">
        <f t="shared" si="13"/>
        <v>97277.531586184225</v>
      </c>
      <c r="R21" s="15">
        <f t="shared" si="14"/>
        <v>211076.20891193632</v>
      </c>
      <c r="S21" s="175">
        <f t="shared" si="19"/>
        <v>2.0000000000000007E-2</v>
      </c>
      <c r="T21" s="10">
        <f t="shared" si="5"/>
        <v>2345361.2865429018</v>
      </c>
      <c r="U21" s="10">
        <f t="shared" si="6"/>
        <v>1037861.7192199909</v>
      </c>
      <c r="V21" s="5">
        <f t="shared" si="7"/>
        <v>2869687.1817924348</v>
      </c>
      <c r="W21" s="5">
        <f t="shared" si="15"/>
        <v>5851454.6634566989</v>
      </c>
      <c r="X21" s="5">
        <f t="shared" si="8"/>
        <v>46996.2414816866</v>
      </c>
      <c r="Y21" s="5">
        <f t="shared" si="9"/>
        <v>15099.294389273582</v>
      </c>
      <c r="Z21" s="65">
        <f>Q21*Defaults!B$11</f>
        <v>957210.91080805275</v>
      </c>
      <c r="AA21" s="65">
        <f>R21*Defaults!B$12</f>
        <v>386269.4623088435</v>
      </c>
      <c r="AB21" s="5">
        <f>Z21*Defaults!B$13</f>
        <v>2689762.6593706282</v>
      </c>
      <c r="AC21" s="5">
        <f>AA21*Defaults!B$14</f>
        <v>907733.23642578232</v>
      </c>
      <c r="AE21" s="10"/>
      <c r="AF21" s="10"/>
      <c r="AG21" s="10"/>
      <c r="AH21" s="10"/>
      <c r="AI21" s="10"/>
      <c r="AJ21" s="24"/>
    </row>
    <row r="22" spans="1:36">
      <c r="A22" s="2">
        <f t="shared" si="16"/>
        <v>2034</v>
      </c>
      <c r="B22" s="15">
        <f t="shared" si="10"/>
        <v>280522.51221526507</v>
      </c>
      <c r="C22" s="15">
        <f t="shared" si="11"/>
        <v>555249.69798314502</v>
      </c>
      <c r="D22" s="175">
        <f t="shared" si="17"/>
        <v>1.9999999999999966E-2</v>
      </c>
      <c r="E22" s="10">
        <f t="shared" si="12"/>
        <v>6763397.769510041</v>
      </c>
      <c r="F22" s="10">
        <f t="shared" si="0"/>
        <v>2730162.7649831241</v>
      </c>
      <c r="G22" s="5">
        <f t="shared" si="1"/>
        <v>8275414.1103503201</v>
      </c>
      <c r="H22" s="5">
        <f t="shared" si="2"/>
        <v>15392632.127488747</v>
      </c>
      <c r="I22" s="5">
        <f t="shared" si="3"/>
        <v>135524.65312545362</v>
      </c>
      <c r="J22" s="5">
        <f t="shared" si="4"/>
        <v>39719.676095284682</v>
      </c>
      <c r="K22" s="65">
        <f>B22*Defaults!B$11</f>
        <v>2760341.5201982083</v>
      </c>
      <c r="L22" s="65">
        <f>C22*Defaults!B$12</f>
        <v>1016106.9473091554</v>
      </c>
      <c r="M22" s="5">
        <f>K22*Defaults!B$13</f>
        <v>7756559.6717569651</v>
      </c>
      <c r="N22" s="5">
        <f>L22*Defaults!B$14</f>
        <v>2387851.3261765153</v>
      </c>
      <c r="O22" s="338"/>
      <c r="P22" s="2">
        <f t="shared" si="18"/>
        <v>2034</v>
      </c>
      <c r="Q22" s="15">
        <f t="shared" si="13"/>
        <v>99223.082217907911</v>
      </c>
      <c r="R22" s="15">
        <f t="shared" si="14"/>
        <v>215297.73309017505</v>
      </c>
      <c r="S22" s="175">
        <f t="shared" si="19"/>
        <v>2.0000000000000021E-2</v>
      </c>
      <c r="T22" s="10">
        <f t="shared" si="5"/>
        <v>2392268.5122737596</v>
      </c>
      <c r="U22" s="10">
        <f t="shared" si="6"/>
        <v>1058618.9536043906</v>
      </c>
      <c r="V22" s="5">
        <f t="shared" si="7"/>
        <v>2927080.9254282834</v>
      </c>
      <c r="W22" s="5">
        <f t="shared" si="15"/>
        <v>5968483.7567258328</v>
      </c>
      <c r="X22" s="5">
        <f t="shared" si="8"/>
        <v>47936.166311320332</v>
      </c>
      <c r="Y22" s="5">
        <f t="shared" si="9"/>
        <v>15401.280277059053</v>
      </c>
      <c r="Z22" s="65">
        <f>Q22*Defaults!B$11</f>
        <v>976355.12902421388</v>
      </c>
      <c r="AA22" s="65">
        <f>R22*Defaults!B$12</f>
        <v>393994.85155502037</v>
      </c>
      <c r="AB22" s="5">
        <f>Z22*Defaults!B$13</f>
        <v>2743557.912558041</v>
      </c>
      <c r="AC22" s="5">
        <f>AA22*Defaults!B$14</f>
        <v>925887.90115429787</v>
      </c>
      <c r="AE22" s="10"/>
      <c r="AF22" s="10"/>
      <c r="AG22" s="10"/>
      <c r="AH22" s="10"/>
      <c r="AI22" s="10"/>
      <c r="AJ22" s="24"/>
    </row>
    <row r="23" spans="1:36">
      <c r="A23" s="2">
        <f t="shared" si="16"/>
        <v>2035</v>
      </c>
      <c r="B23" s="15">
        <f t="shared" si="10"/>
        <v>286132.96245957038</v>
      </c>
      <c r="C23" s="15">
        <f t="shared" si="11"/>
        <v>566354.69194280787</v>
      </c>
      <c r="D23" s="175">
        <f t="shared" si="17"/>
        <v>2.0000000000000018E-2</v>
      </c>
      <c r="E23" s="10">
        <f t="shared" si="12"/>
        <v>6898665.7249002419</v>
      </c>
      <c r="F23" s="10">
        <f t="shared" si="0"/>
        <v>2784766.0202827863</v>
      </c>
      <c r="G23" s="5">
        <f t="shared" si="1"/>
        <v>8440922.3925573267</v>
      </c>
      <c r="H23" s="5">
        <f t="shared" si="2"/>
        <v>15700484.770038521</v>
      </c>
      <c r="I23" s="5">
        <f t="shared" si="3"/>
        <v>138235.1461879627</v>
      </c>
      <c r="J23" s="5">
        <f t="shared" si="4"/>
        <v>40514.069617190369</v>
      </c>
      <c r="K23" s="65">
        <f>B23*Defaults!B$11</f>
        <v>2815548.3506021723</v>
      </c>
      <c r="L23" s="65">
        <f>C23*Defaults!B$12</f>
        <v>1036429.0862553384</v>
      </c>
      <c r="M23" s="5">
        <f>K23*Defaults!B$13</f>
        <v>7911690.8651921041</v>
      </c>
      <c r="N23" s="5">
        <f>L23*Defaults!B$14</f>
        <v>2435608.3527000453</v>
      </c>
      <c r="O23" s="338"/>
      <c r="P23" s="2">
        <f t="shared" si="18"/>
        <v>2035</v>
      </c>
      <c r="Q23" s="15">
        <f t="shared" si="13"/>
        <v>101207.54386226607</v>
      </c>
      <c r="R23" s="15">
        <f t="shared" si="14"/>
        <v>219603.68775197855</v>
      </c>
      <c r="S23" s="175">
        <f t="shared" si="19"/>
        <v>1.9999999999999969E-2</v>
      </c>
      <c r="T23" s="10">
        <f t="shared" si="5"/>
        <v>2440113.8825192349</v>
      </c>
      <c r="U23" s="10">
        <f t="shared" si="6"/>
        <v>1079791.3326764784</v>
      </c>
      <c r="V23" s="5">
        <f t="shared" si="7"/>
        <v>2985622.5439368491</v>
      </c>
      <c r="W23" s="5">
        <f t="shared" si="15"/>
        <v>6087853.4318603501</v>
      </c>
      <c r="X23" s="5">
        <f t="shared" si="8"/>
        <v>48894.889637546745</v>
      </c>
      <c r="Y23" s="5">
        <f t="shared" si="9"/>
        <v>15709.305882600234</v>
      </c>
      <c r="Z23" s="65">
        <f>Q23*Defaults!B$11</f>
        <v>995882.23160469811</v>
      </c>
      <c r="AA23" s="65">
        <f>R23*Defaults!B$12</f>
        <v>401874.74858612078</v>
      </c>
      <c r="AB23" s="5">
        <f>Z23*Defaults!B$13</f>
        <v>2798429.0708092018</v>
      </c>
      <c r="AC23" s="5">
        <f>AA23*Defaults!B$14</f>
        <v>944405.65917738387</v>
      </c>
      <c r="AE23" s="10"/>
      <c r="AF23" s="10"/>
      <c r="AG23" s="10"/>
      <c r="AH23" s="10"/>
      <c r="AI23" s="10"/>
      <c r="AJ23" s="24"/>
    </row>
    <row r="24" spans="1:36">
      <c r="A24" s="2">
        <f t="shared" si="16"/>
        <v>2036</v>
      </c>
      <c r="B24" s="15">
        <f t="shared" si="10"/>
        <v>291855.62170876178</v>
      </c>
      <c r="C24" s="15">
        <f t="shared" si="11"/>
        <v>577681.78578166408</v>
      </c>
      <c r="D24" s="175">
        <f t="shared" si="17"/>
        <v>1.9999999999999993E-2</v>
      </c>
      <c r="E24" s="10">
        <f t="shared" si="12"/>
        <v>7036639.0393982464</v>
      </c>
      <c r="F24" s="10">
        <f t="shared" si="0"/>
        <v>2840461.3406884423</v>
      </c>
      <c r="G24" s="5">
        <f t="shared" si="1"/>
        <v>8609740.8404084723</v>
      </c>
      <c r="H24" s="5">
        <f t="shared" si="2"/>
        <v>16014494.465439292</v>
      </c>
      <c r="I24" s="5">
        <f t="shared" si="3"/>
        <v>140999.84911172197</v>
      </c>
      <c r="J24" s="5">
        <f t="shared" si="4"/>
        <v>41324.351009534177</v>
      </c>
      <c r="K24" s="65">
        <f>B24*Defaults!B$11</f>
        <v>2871859.3176142159</v>
      </c>
      <c r="L24" s="65">
        <f>C24*Defaults!B$12</f>
        <v>1057157.6679804453</v>
      </c>
      <c r="M24" s="5">
        <f>K24*Defaults!B$13</f>
        <v>8069924.682495947</v>
      </c>
      <c r="N24" s="5">
        <f>L24*Defaults!B$14</f>
        <v>2484320.5197540466</v>
      </c>
      <c r="O24" s="338"/>
      <c r="P24" s="2">
        <f t="shared" si="18"/>
        <v>2036</v>
      </c>
      <c r="Q24" s="15">
        <f t="shared" si="13"/>
        <v>103231.6947395114</v>
      </c>
      <c r="R24" s="15">
        <f t="shared" si="14"/>
        <v>223995.76150701812</v>
      </c>
      <c r="S24" s="175">
        <f t="shared" si="19"/>
        <v>2.0000000000000004E-2</v>
      </c>
      <c r="T24" s="10">
        <f t="shared" si="5"/>
        <v>2488916.1601696196</v>
      </c>
      <c r="U24" s="10">
        <f t="shared" si="6"/>
        <v>1101387.1593300081</v>
      </c>
      <c r="V24" s="5">
        <f t="shared" si="7"/>
        <v>3045334.9948155861</v>
      </c>
      <c r="W24" s="5">
        <f t="shared" si="15"/>
        <v>6209610.5004975563</v>
      </c>
      <c r="X24" s="5">
        <f t="shared" si="8"/>
        <v>49872.787430297678</v>
      </c>
      <c r="Y24" s="5">
        <f t="shared" si="9"/>
        <v>16023.492000252239</v>
      </c>
      <c r="Z24" s="65">
        <f>Q24*Defaults!B$11</f>
        <v>1015799.8762367921</v>
      </c>
      <c r="AA24" s="65">
        <f>R24*Defaults!B$12</f>
        <v>409912.24355784315</v>
      </c>
      <c r="AB24" s="5">
        <f>Z24*Defaults!B$13</f>
        <v>2854397.6522253859</v>
      </c>
      <c r="AC24" s="5">
        <f>AA24*Defaults!B$14</f>
        <v>963293.77236093138</v>
      </c>
      <c r="AE24" s="10"/>
      <c r="AF24" s="10"/>
      <c r="AG24" s="10"/>
      <c r="AH24" s="10"/>
      <c r="AI24" s="10"/>
      <c r="AJ24" s="24"/>
    </row>
    <row r="25" spans="1:36">
      <c r="A25" s="2">
        <f t="shared" si="16"/>
        <v>2037</v>
      </c>
      <c r="B25" s="15">
        <f t="shared" si="10"/>
        <v>297692.734142937</v>
      </c>
      <c r="C25" s="15">
        <f t="shared" si="11"/>
        <v>589235.42149729736</v>
      </c>
      <c r="D25" s="175">
        <f t="shared" si="17"/>
        <v>1.9999999999999928E-2</v>
      </c>
      <c r="E25" s="10">
        <f t="shared" si="12"/>
        <v>7177371.8201862108</v>
      </c>
      <c r="F25" s="10">
        <f t="shared" si="0"/>
        <v>2897270.5675022108</v>
      </c>
      <c r="G25" s="5">
        <f t="shared" si="1"/>
        <v>8781935.6572166421</v>
      </c>
      <c r="H25" s="5">
        <f t="shared" si="2"/>
        <v>16334784.354748078</v>
      </c>
      <c r="I25" s="5">
        <f t="shared" si="3"/>
        <v>143819.84609395638</v>
      </c>
      <c r="J25" s="5">
        <f t="shared" si="4"/>
        <v>42150.838029724866</v>
      </c>
      <c r="K25" s="65">
        <f>B25*Defaults!B$11</f>
        <v>2929296.5039665001</v>
      </c>
      <c r="L25" s="65">
        <f>C25*Defaults!B$12</f>
        <v>1078300.8213400543</v>
      </c>
      <c r="M25" s="5">
        <f>K25*Defaults!B$13</f>
        <v>8231323.1761458656</v>
      </c>
      <c r="N25" s="5">
        <f>L25*Defaults!B$14</f>
        <v>2534006.9301491277</v>
      </c>
      <c r="O25" s="338"/>
      <c r="P25" s="2">
        <f t="shared" si="18"/>
        <v>2037</v>
      </c>
      <c r="Q25" s="15">
        <f t="shared" si="13"/>
        <v>105296.32863430162</v>
      </c>
      <c r="R25" s="15">
        <f t="shared" si="14"/>
        <v>228475.67673715847</v>
      </c>
      <c r="S25" s="175">
        <f t="shared" si="19"/>
        <v>1.9999999999999952E-2</v>
      </c>
      <c r="T25" s="10">
        <f t="shared" si="5"/>
        <v>2538694.4833730119</v>
      </c>
      <c r="U25" s="10">
        <f t="shared" si="6"/>
        <v>1123414.9025166081</v>
      </c>
      <c r="V25" s="5">
        <f t="shared" si="7"/>
        <v>3106241.694711898</v>
      </c>
      <c r="W25" s="5">
        <f t="shared" si="15"/>
        <v>6333802.7105075074</v>
      </c>
      <c r="X25" s="5">
        <f t="shared" si="8"/>
        <v>50870.243178903627</v>
      </c>
      <c r="Y25" s="5">
        <f t="shared" si="9"/>
        <v>16343.961840257283</v>
      </c>
      <c r="Z25" s="65">
        <f>Q25*Defaults!B$11</f>
        <v>1036115.8737615279</v>
      </c>
      <c r="AA25" s="65">
        <f>R25*Defaults!B$12</f>
        <v>418110.48842900002</v>
      </c>
      <c r="AB25" s="5">
        <f>Z25*Defaults!B$13</f>
        <v>2911485.6052698935</v>
      </c>
      <c r="AC25" s="5">
        <f>AA25*Defaults!B$14</f>
        <v>982559.64780815004</v>
      </c>
      <c r="AE25" s="10"/>
      <c r="AF25" s="10"/>
      <c r="AG25" s="10"/>
      <c r="AH25" s="10"/>
      <c r="AI25" s="10"/>
      <c r="AJ25" s="24"/>
    </row>
    <row r="26" spans="1:36">
      <c r="A26" s="2">
        <f t="shared" si="16"/>
        <v>2038</v>
      </c>
      <c r="B26" s="15">
        <f t="shared" si="10"/>
        <v>303646.58882579574</v>
      </c>
      <c r="C26" s="15">
        <f t="shared" si="11"/>
        <v>601020.12992724334</v>
      </c>
      <c r="D26" s="175">
        <f t="shared" si="17"/>
        <v>2.0000000000000007E-2</v>
      </c>
      <c r="E26" s="10">
        <f t="shared" si="12"/>
        <v>7320919.2565899352</v>
      </c>
      <c r="F26" s="10">
        <f t="shared" si="0"/>
        <v>2955215.9788522553</v>
      </c>
      <c r="G26" s="5">
        <f t="shared" si="1"/>
        <v>8957574.3703609742</v>
      </c>
      <c r="H26" s="5">
        <f t="shared" si="2"/>
        <v>16661480.04184304</v>
      </c>
      <c r="I26" s="5">
        <f t="shared" si="3"/>
        <v>146696.24301583553</v>
      </c>
      <c r="J26" s="5">
        <f t="shared" si="4"/>
        <v>42993.854790319361</v>
      </c>
      <c r="K26" s="65">
        <f>B26*Defaults!B$11</f>
        <v>2987882.4340458303</v>
      </c>
      <c r="L26" s="65">
        <f>C26*Defaults!B$12</f>
        <v>1099866.8377668553</v>
      </c>
      <c r="M26" s="5">
        <f>K26*Defaults!B$13</f>
        <v>8395949.6396687832</v>
      </c>
      <c r="N26" s="5">
        <f>L26*Defaults!B$14</f>
        <v>2584687.06875211</v>
      </c>
      <c r="O26" s="338"/>
      <c r="P26" s="2">
        <f t="shared" si="18"/>
        <v>2038</v>
      </c>
      <c r="Q26" s="15">
        <f t="shared" si="13"/>
        <v>107402.25520698765</v>
      </c>
      <c r="R26" s="15">
        <f t="shared" si="14"/>
        <v>233045.19027190164</v>
      </c>
      <c r="S26" s="175">
        <f t="shared" si="19"/>
        <v>1.9999999999999976E-2</v>
      </c>
      <c r="T26" s="10">
        <f t="shared" si="5"/>
        <v>2589468.3730404722</v>
      </c>
      <c r="U26" s="10">
        <f t="shared" si="6"/>
        <v>1145883.2005669402</v>
      </c>
      <c r="V26" s="5">
        <f t="shared" si="7"/>
        <v>3168366.5286061359</v>
      </c>
      <c r="W26" s="5">
        <f t="shared" si="15"/>
        <v>6460478.7647176571</v>
      </c>
      <c r="X26" s="5">
        <f t="shared" si="8"/>
        <v>51887.648042481705</v>
      </c>
      <c r="Y26" s="5">
        <f t="shared" si="9"/>
        <v>16670.841077062429</v>
      </c>
      <c r="Z26" s="65">
        <f>Q26*Defaults!B$11</f>
        <v>1056838.1912367586</v>
      </c>
      <c r="AA26" s="65">
        <f>R26*Defaults!B$12</f>
        <v>426472.69819758</v>
      </c>
      <c r="AB26" s="5">
        <f>Z26*Defaults!B$13</f>
        <v>2969715.3173752916</v>
      </c>
      <c r="AC26" s="5">
        <f>AA26*Defaults!B$14</f>
        <v>1002210.840764313</v>
      </c>
      <c r="AE26" s="10"/>
      <c r="AF26" s="10"/>
      <c r="AG26" s="10"/>
      <c r="AH26" s="10"/>
      <c r="AI26" s="10"/>
      <c r="AJ26" s="24"/>
    </row>
    <row r="27" spans="1:36">
      <c r="A27" s="2">
        <f t="shared" si="16"/>
        <v>2039</v>
      </c>
      <c r="B27" s="15">
        <f t="shared" si="10"/>
        <v>309719.52060231165</v>
      </c>
      <c r="C27" s="15">
        <f t="shared" si="11"/>
        <v>613040.53252578818</v>
      </c>
      <c r="D27" s="175">
        <f t="shared" si="17"/>
        <v>1.9999999999999973E-2</v>
      </c>
      <c r="E27" s="10">
        <f t="shared" si="12"/>
        <v>7467337.6417217338</v>
      </c>
      <c r="F27" s="10">
        <f t="shared" si="0"/>
        <v>3014320.2984293005</v>
      </c>
      <c r="G27" s="5">
        <f t="shared" si="1"/>
        <v>9136725.8577681929</v>
      </c>
      <c r="H27" s="5">
        <f t="shared" si="2"/>
        <v>16994709.6426799</v>
      </c>
      <c r="I27" s="5">
        <f t="shared" si="3"/>
        <v>149630.16787615223</v>
      </c>
      <c r="J27" s="5">
        <f t="shared" si="4"/>
        <v>43853.731886125752</v>
      </c>
      <c r="K27" s="65">
        <f>B27*Defaults!B$11</f>
        <v>3047640.0827267468</v>
      </c>
      <c r="L27" s="65">
        <f>C27*Defaults!B$12</f>
        <v>1121864.1745221925</v>
      </c>
      <c r="M27" s="5">
        <f>K27*Defaults!B$13</f>
        <v>8563868.6324621588</v>
      </c>
      <c r="N27" s="5">
        <f>L27*Defaults!B$14</f>
        <v>2636380.8101271521</v>
      </c>
      <c r="O27" s="338"/>
      <c r="P27" s="2">
        <f t="shared" si="18"/>
        <v>2039</v>
      </c>
      <c r="Q27" s="15">
        <f t="shared" si="13"/>
        <v>109550.30031112742</v>
      </c>
      <c r="R27" s="15">
        <f t="shared" si="14"/>
        <v>237706.09407733969</v>
      </c>
      <c r="S27" s="175">
        <f t="shared" si="19"/>
        <v>2.0000000000000077E-2</v>
      </c>
      <c r="T27" s="10">
        <f t="shared" si="5"/>
        <v>2641257.7405012818</v>
      </c>
      <c r="U27" s="10">
        <f t="shared" si="6"/>
        <v>1168800.8645782792</v>
      </c>
      <c r="V27" s="5">
        <f t="shared" si="7"/>
        <v>3231733.8591782586</v>
      </c>
      <c r="W27" s="5">
        <f t="shared" si="15"/>
        <v>6589688.3400120111</v>
      </c>
      <c r="X27" s="5">
        <f t="shared" si="8"/>
        <v>52925.401003331339</v>
      </c>
      <c r="Y27" s="5">
        <f t="shared" si="9"/>
        <v>17004.257898603679</v>
      </c>
      <c r="Z27" s="65">
        <f>Q27*Defaults!B$11</f>
        <v>1077974.9550614937</v>
      </c>
      <c r="AA27" s="65">
        <f>R27*Defaults!B$12</f>
        <v>435002.15216153162</v>
      </c>
      <c r="AB27" s="5">
        <f>Z27*Defaults!B$13</f>
        <v>3029109.6237227973</v>
      </c>
      <c r="AC27" s="5">
        <f>AA27*Defaults!B$14</f>
        <v>1022255.0575795993</v>
      </c>
      <c r="AE27" s="10"/>
      <c r="AF27" s="10"/>
      <c r="AG27" s="10"/>
      <c r="AH27" s="10"/>
      <c r="AI27" s="10"/>
      <c r="AJ27" s="24"/>
    </row>
    <row r="28" spans="1:36">
      <c r="A28" s="2">
        <f>A27+1</f>
        <v>2040</v>
      </c>
      <c r="B28" s="15">
        <f t="shared" si="10"/>
        <v>315913.91101435787</v>
      </c>
      <c r="C28" s="15">
        <f t="shared" si="11"/>
        <v>625301.3431763039</v>
      </c>
      <c r="D28" s="175">
        <f t="shared" si="17"/>
        <v>1.9999999999999973E-2</v>
      </c>
      <c r="E28" s="10">
        <f t="shared" si="12"/>
        <v>7616684.3945561685</v>
      </c>
      <c r="F28" s="10">
        <f t="shared" si="0"/>
        <v>3074606.7043978861</v>
      </c>
      <c r="G28" s="5">
        <f t="shared" si="1"/>
        <v>9319460.374923557</v>
      </c>
      <c r="H28" s="5">
        <f t="shared" si="2"/>
        <v>17334603.835533496</v>
      </c>
      <c r="I28" s="5">
        <f t="shared" si="3"/>
        <v>152622.77123367527</v>
      </c>
      <c r="J28" s="5">
        <f t="shared" si="4"/>
        <v>44730.80652384826</v>
      </c>
      <c r="K28" s="65">
        <f>B28*Defaults!B$11</f>
        <v>3108592.8843812812</v>
      </c>
      <c r="L28" s="65">
        <f>C28*Defaults!B$12</f>
        <v>1144301.4580126363</v>
      </c>
      <c r="M28" s="5">
        <f>K28*Defaults!B$13</f>
        <v>8735146.0051114</v>
      </c>
      <c r="N28" s="5">
        <f>L28*Defaults!B$14</f>
        <v>2689108.4263296952</v>
      </c>
      <c r="O28" s="338"/>
      <c r="P28" s="2">
        <f>P27+1</f>
        <v>2040</v>
      </c>
      <c r="Q28" s="15">
        <f t="shared" si="13"/>
        <v>111741.30631734997</v>
      </c>
      <c r="R28" s="15">
        <f t="shared" si="14"/>
        <v>242460.21595888649</v>
      </c>
      <c r="S28" s="175">
        <f t="shared" si="19"/>
        <v>2.0000000000000035E-2</v>
      </c>
      <c r="T28" s="10">
        <f t="shared" si="5"/>
        <v>2694082.8953113076</v>
      </c>
      <c r="U28" s="10">
        <f t="shared" si="6"/>
        <v>1192176.8818698449</v>
      </c>
      <c r="V28" s="5">
        <f t="shared" si="7"/>
        <v>3296368.5363618243</v>
      </c>
      <c r="W28" s="5">
        <f t="shared" si="15"/>
        <v>6721482.1068122517</v>
      </c>
      <c r="X28" s="5">
        <f t="shared" si="8"/>
        <v>53983.909023397973</v>
      </c>
      <c r="Y28" s="5">
        <f t="shared" si="9"/>
        <v>17344.343056575752</v>
      </c>
      <c r="Z28" s="65">
        <f>Q28*Defaults!B$11</f>
        <v>1099534.4541627236</v>
      </c>
      <c r="AA28" s="65">
        <f>R28*Defaults!B$12</f>
        <v>443702.19520476228</v>
      </c>
      <c r="AB28" s="5">
        <f>Z28*Defaults!B$13</f>
        <v>3089691.8161972533</v>
      </c>
      <c r="AC28" s="5">
        <f>AA28*Defaults!B$14</f>
        <v>1042700.1587311914</v>
      </c>
      <c r="AE28" s="10"/>
      <c r="AF28" s="10"/>
      <c r="AG28" s="10"/>
      <c r="AH28" s="10"/>
      <c r="AI28" s="10"/>
      <c r="AJ28" s="24"/>
    </row>
    <row r="29" spans="1:36">
      <c r="A29" s="2">
        <f t="shared" si="16"/>
        <v>2041</v>
      </c>
      <c r="B29" s="15">
        <f t="shared" si="10"/>
        <v>322232.18923464505</v>
      </c>
      <c r="C29" s="15">
        <f t="shared" si="11"/>
        <v>637807.37003982998</v>
      </c>
      <c r="D29" s="175">
        <f t="shared" si="17"/>
        <v>2.0000000000000056E-2</v>
      </c>
      <c r="E29" s="10">
        <f t="shared" si="12"/>
        <v>7769018.0824472923</v>
      </c>
      <c r="F29" s="10">
        <f t="shared" si="0"/>
        <v>3136098.838485844</v>
      </c>
      <c r="G29" s="5">
        <f t="shared" si="1"/>
        <v>9505849.5824220292</v>
      </c>
      <c r="H29" s="5">
        <f t="shared" si="2"/>
        <v>17681295.912244167</v>
      </c>
      <c r="I29" s="5">
        <f t="shared" si="3"/>
        <v>155675.22665834878</v>
      </c>
      <c r="J29" s="5">
        <f t="shared" si="4"/>
        <v>45625.42265432523</v>
      </c>
      <c r="K29" s="65">
        <f>B29*Defaults!B$11</f>
        <v>3170764.7420689072</v>
      </c>
      <c r="L29" s="65">
        <f>C29*Defaults!B$12</f>
        <v>1167187.4871728888</v>
      </c>
      <c r="M29" s="5">
        <f>K29*Defaults!B$13</f>
        <v>8909848.9252136294</v>
      </c>
      <c r="N29" s="5">
        <f>L29*Defaults!B$14</f>
        <v>2742890.5948562887</v>
      </c>
      <c r="O29" s="338"/>
      <c r="P29" s="2">
        <f t="shared" ref="P29:P30" si="20">P28+1</f>
        <v>2041</v>
      </c>
      <c r="Q29" s="15">
        <f t="shared" si="13"/>
        <v>113976.13244369697</v>
      </c>
      <c r="R29" s="15">
        <f t="shared" si="14"/>
        <v>247309.42027806424</v>
      </c>
      <c r="S29" s="175">
        <f t="shared" si="19"/>
        <v>2.0000000000000077E-2</v>
      </c>
      <c r="T29" s="10">
        <f t="shared" si="5"/>
        <v>2747964.553217534</v>
      </c>
      <c r="U29" s="10">
        <f t="shared" si="6"/>
        <v>1216020.4195072418</v>
      </c>
      <c r="V29" s="5">
        <f t="shared" si="7"/>
        <v>3362295.9070890606</v>
      </c>
      <c r="W29" s="5">
        <f t="shared" si="15"/>
        <v>6855911.7489484968</v>
      </c>
      <c r="X29" s="5">
        <f t="shared" si="8"/>
        <v>55063.587203865929</v>
      </c>
      <c r="Y29" s="5">
        <f t="shared" si="9"/>
        <v>17691.229917707267</v>
      </c>
      <c r="Z29" s="65">
        <f>Q29*Defaults!B$11</f>
        <v>1121525.1432459783</v>
      </c>
      <c r="AA29" s="65">
        <f>R29*Defaults!B$12</f>
        <v>452576.23910885758</v>
      </c>
      <c r="AB29" s="5">
        <f>Z29*Defaults!B$13</f>
        <v>3151485.6525211991</v>
      </c>
      <c r="AC29" s="5">
        <f>AA29*Defaults!B$14</f>
        <v>1063554.1619058154</v>
      </c>
      <c r="AE29" s="10"/>
      <c r="AF29" s="10"/>
      <c r="AG29" s="10"/>
      <c r="AH29" s="10"/>
      <c r="AI29" s="10"/>
      <c r="AJ29" s="24"/>
    </row>
    <row r="30" spans="1:36">
      <c r="A30" s="2">
        <f t="shared" si="16"/>
        <v>2042</v>
      </c>
      <c r="B30" s="15">
        <f t="shared" si="10"/>
        <v>328676.83301933797</v>
      </c>
      <c r="C30" s="15">
        <f t="shared" si="11"/>
        <v>650563.51744062663</v>
      </c>
      <c r="D30" s="175">
        <f t="shared" si="17"/>
        <v>2.0000000000000052E-2</v>
      </c>
      <c r="E30" s="10">
        <f t="shared" si="12"/>
        <v>7924398.4440962384</v>
      </c>
      <c r="F30" s="10">
        <f t="shared" si="0"/>
        <v>3198820.8152555609</v>
      </c>
      <c r="G30" s="5">
        <f t="shared" si="1"/>
        <v>9695966.5740704704</v>
      </c>
      <c r="H30" s="5">
        <f t="shared" si="2"/>
        <v>18034921.830489051</v>
      </c>
      <c r="I30" s="5">
        <f t="shared" si="3"/>
        <v>158788.73119151578</v>
      </c>
      <c r="J30" s="5">
        <f t="shared" si="4"/>
        <v>46537.931107411736</v>
      </c>
      <c r="K30" s="65">
        <f>B30*Defaults!B$11</f>
        <v>3234180.0369102857</v>
      </c>
      <c r="L30" s="65">
        <f>C30*Defaults!B$12</f>
        <v>1190531.2369163467</v>
      </c>
      <c r="M30" s="5">
        <f>K30*Defaults!B$13</f>
        <v>9088045.9037179034</v>
      </c>
      <c r="N30" s="5">
        <f>L30*Defaults!B$14</f>
        <v>2797748.4067534148</v>
      </c>
      <c r="O30" s="338"/>
      <c r="P30" s="2">
        <f t="shared" si="20"/>
        <v>2042</v>
      </c>
      <c r="Q30" s="15">
        <f t="shared" si="13"/>
        <v>116255.65509257092</v>
      </c>
      <c r="R30" s="15">
        <f t="shared" si="14"/>
        <v>252255.60868362553</v>
      </c>
      <c r="S30" s="175">
        <f t="shared" si="19"/>
        <v>2.0000000000000021E-2</v>
      </c>
      <c r="T30" s="10">
        <f t="shared" si="5"/>
        <v>2802923.8442818848</v>
      </c>
      <c r="U30" s="10">
        <f t="shared" si="6"/>
        <v>1240340.8278973866</v>
      </c>
      <c r="V30" s="5">
        <f t="shared" si="7"/>
        <v>3429541.825230842</v>
      </c>
      <c r="W30" s="5">
        <f t="shared" si="15"/>
        <v>6993029.9839274669</v>
      </c>
      <c r="X30" s="5">
        <f t="shared" si="8"/>
        <v>56164.858947943256</v>
      </c>
      <c r="Y30" s="5">
        <f t="shared" si="9"/>
        <v>18045.054516061413</v>
      </c>
      <c r="Z30" s="65">
        <f>Q30*Defaults!B$11</f>
        <v>1143955.6461108979</v>
      </c>
      <c r="AA30" s="65">
        <f>R30*Defaults!B$12</f>
        <v>461627.76389103476</v>
      </c>
      <c r="AB30" s="5">
        <f>Z30*Defaults!B$13</f>
        <v>3214515.3655716232</v>
      </c>
      <c r="AC30" s="5">
        <f>AA30*Defaults!B$14</f>
        <v>1084825.2451439318</v>
      </c>
      <c r="AE30" s="10"/>
      <c r="AF30" s="10"/>
      <c r="AG30" s="10"/>
      <c r="AH30" s="10"/>
      <c r="AI30" s="10"/>
      <c r="AJ30" s="24"/>
    </row>
    <row r="31" spans="1:36">
      <c r="W31" s="5"/>
    </row>
    <row r="35" spans="2:19">
      <c r="B35" s="10"/>
      <c r="C35" s="10"/>
      <c r="D35" s="10"/>
      <c r="Q35" s="10"/>
      <c r="R35" s="10"/>
      <c r="S35" s="10"/>
    </row>
    <row r="36" spans="2:19">
      <c r="B36" s="10"/>
      <c r="C36" s="10"/>
      <c r="D36" s="10"/>
      <c r="Q36" s="10"/>
      <c r="R36" s="10"/>
      <c r="S36" s="10"/>
    </row>
    <row r="37" spans="2:19">
      <c r="B37" s="10"/>
      <c r="C37" s="10"/>
      <c r="D37" s="10"/>
      <c r="Q37" s="10"/>
      <c r="R37" s="10"/>
      <c r="S37" s="10"/>
    </row>
    <row r="38" spans="2:19">
      <c r="B38" s="10"/>
      <c r="C38" s="10"/>
      <c r="D38" s="10"/>
      <c r="Q38" s="10"/>
      <c r="R38" s="10"/>
      <c r="S38" s="10"/>
    </row>
    <row r="39" spans="2:19">
      <c r="B39" s="10"/>
      <c r="C39" s="10"/>
      <c r="D39" s="10"/>
      <c r="Q39" s="10"/>
      <c r="R39" s="10"/>
      <c r="S39" s="10"/>
    </row>
    <row r="40" spans="2:19">
      <c r="B40" s="10"/>
      <c r="C40" s="10"/>
      <c r="D40" s="10"/>
      <c r="Q40" s="10"/>
      <c r="R40" s="10"/>
      <c r="S40" s="10"/>
    </row>
    <row r="41" spans="2:19">
      <c r="B41" s="10"/>
      <c r="C41" s="10"/>
      <c r="D41" s="10"/>
      <c r="Q41" s="10"/>
      <c r="R41" s="10"/>
      <c r="S41" s="10"/>
    </row>
    <row r="42" spans="2:19">
      <c r="B42" s="10"/>
      <c r="C42" s="10"/>
      <c r="D42" s="10"/>
      <c r="Q42" s="10"/>
      <c r="R42" s="10"/>
      <c r="S42" s="10"/>
    </row>
    <row r="43" spans="2:19">
      <c r="B43" s="10"/>
      <c r="C43" s="10"/>
      <c r="D43" s="10"/>
      <c r="Q43" s="10"/>
      <c r="R43" s="10"/>
      <c r="S43" s="10"/>
    </row>
    <row r="44" spans="2:19">
      <c r="B44" s="10"/>
      <c r="C44" s="10"/>
      <c r="D44" s="10"/>
      <c r="Q44" s="10"/>
      <c r="R44" s="10"/>
      <c r="S44" s="10"/>
    </row>
    <row r="45" spans="2:19">
      <c r="B45" s="10"/>
      <c r="C45" s="10"/>
      <c r="D45" s="10"/>
      <c r="Q45" s="10"/>
      <c r="R45" s="10"/>
      <c r="S45" s="10"/>
    </row>
    <row r="46" spans="2:19">
      <c r="B46" s="10"/>
      <c r="C46" s="10"/>
      <c r="D46" s="10"/>
      <c r="Q46" s="10"/>
      <c r="R46" s="10"/>
      <c r="S46" s="10"/>
    </row>
    <row r="47" spans="2:19">
      <c r="B47" s="10"/>
      <c r="C47" s="10"/>
      <c r="D47" s="10"/>
      <c r="Q47" s="10"/>
      <c r="R47" s="10"/>
      <c r="S47" s="10"/>
    </row>
    <row r="48" spans="2:19">
      <c r="B48" s="10"/>
      <c r="C48" s="10"/>
      <c r="D48" s="10"/>
      <c r="Q48" s="10"/>
      <c r="R48" s="10"/>
      <c r="S48" s="10"/>
    </row>
    <row r="49" spans="2:19">
      <c r="B49" s="10"/>
      <c r="C49" s="10"/>
      <c r="D49" s="10"/>
      <c r="Q49" s="10"/>
      <c r="R49" s="10"/>
      <c r="S49" s="10"/>
    </row>
    <row r="50" spans="2:19">
      <c r="B50" s="10"/>
      <c r="C50" s="10"/>
      <c r="D50" s="10"/>
      <c r="Q50" s="10"/>
      <c r="R50" s="10"/>
      <c r="S50" s="10"/>
    </row>
    <row r="51" spans="2:19">
      <c r="B51" s="10"/>
      <c r="C51" s="10"/>
      <c r="D51" s="10"/>
      <c r="Q51" s="10"/>
      <c r="R51" s="10"/>
      <c r="S51" s="10"/>
    </row>
    <row r="52" spans="2:19">
      <c r="B52" s="10"/>
      <c r="C52" s="10"/>
      <c r="D52" s="10"/>
      <c r="Q52" s="10"/>
      <c r="R52" s="10"/>
      <c r="S52" s="10"/>
    </row>
    <row r="53" spans="2:19">
      <c r="B53" s="10"/>
      <c r="C53" s="10"/>
      <c r="D53" s="10"/>
      <c r="Q53" s="10"/>
      <c r="R53" s="10"/>
      <c r="S53" s="10"/>
    </row>
    <row r="54" spans="2:19">
      <c r="B54" s="10"/>
      <c r="C54" s="10"/>
      <c r="D54" s="10"/>
      <c r="Q54" s="10"/>
      <c r="R54" s="10"/>
      <c r="S54" s="10"/>
    </row>
    <row r="55" spans="2:19">
      <c r="B55" s="10"/>
      <c r="C55" s="10"/>
      <c r="D55" s="10"/>
      <c r="Q55" s="10"/>
      <c r="R55" s="10"/>
      <c r="S55" s="10"/>
    </row>
    <row r="56" spans="2:19">
      <c r="B56" s="10"/>
      <c r="C56" s="10"/>
      <c r="D56" s="10"/>
      <c r="Q56" s="10"/>
      <c r="R56" s="10"/>
      <c r="S56" s="10"/>
    </row>
    <row r="57" spans="2:19">
      <c r="B57" s="10"/>
      <c r="C57" s="10"/>
      <c r="D57" s="10"/>
      <c r="Q57" s="10"/>
      <c r="R57" s="10"/>
      <c r="S57" s="10"/>
    </row>
    <row r="58" spans="2:19">
      <c r="B58" s="10"/>
      <c r="C58" s="10"/>
      <c r="D58" s="10"/>
      <c r="Q58" s="10"/>
      <c r="R58" s="10"/>
      <c r="S58" s="10"/>
    </row>
    <row r="59" spans="2:19">
      <c r="B59" s="10"/>
      <c r="C59" s="10"/>
      <c r="D59" s="10"/>
      <c r="Q59" s="10"/>
      <c r="R59" s="10"/>
      <c r="S59" s="10"/>
    </row>
    <row r="60" spans="2:19">
      <c r="B60" s="10"/>
      <c r="C60" s="10"/>
      <c r="D60" s="10"/>
      <c r="Q60" s="10"/>
      <c r="R60" s="10"/>
      <c r="S60" s="10"/>
    </row>
    <row r="61" spans="2:19">
      <c r="B61" s="10"/>
      <c r="C61" s="10"/>
      <c r="D61" s="10"/>
      <c r="Q61" s="10"/>
      <c r="R61" s="10"/>
      <c r="S61" s="10"/>
    </row>
    <row r="62" spans="2:19">
      <c r="B62" s="10"/>
      <c r="C62" s="10"/>
      <c r="D62" s="10"/>
      <c r="Q62" s="10"/>
      <c r="R62" s="10"/>
      <c r="S62" s="10"/>
    </row>
    <row r="63" spans="2:19">
      <c r="B63" s="10"/>
      <c r="C63" s="10"/>
      <c r="D63" s="10"/>
      <c r="Q63" s="10"/>
      <c r="R63" s="10"/>
      <c r="S63" s="10"/>
    </row>
    <row r="64" spans="2:19">
      <c r="B64" s="10"/>
      <c r="C64" s="10"/>
      <c r="D64" s="10"/>
      <c r="Q64" s="10"/>
      <c r="R64" s="10"/>
      <c r="S64" s="10"/>
    </row>
  </sheetData>
  <mergeCells count="12">
    <mergeCell ref="AE9:AI9"/>
    <mergeCell ref="Q9:R9"/>
    <mergeCell ref="X9:Y9"/>
    <mergeCell ref="T9:U9"/>
    <mergeCell ref="V9:W9"/>
    <mergeCell ref="B9:C9"/>
    <mergeCell ref="K9:L9"/>
    <mergeCell ref="Z9:AA9"/>
    <mergeCell ref="I9:J9"/>
    <mergeCell ref="E9:F9"/>
    <mergeCell ref="M9:N9"/>
    <mergeCell ref="G9:H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8"/>
  <sheetViews>
    <sheetView workbookViewId="0">
      <selection activeCell="K4" sqref="K4"/>
    </sheetView>
  </sheetViews>
  <sheetFormatPr defaultRowHeight="14.4"/>
  <cols>
    <col min="2" max="2" width="12" style="1" bestFit="1" customWidth="1"/>
    <col min="3" max="6" width="8.6640625" style="1" customWidth="1"/>
    <col min="7" max="7" width="9.77734375" style="1" customWidth="1"/>
    <col min="8" max="8" width="11" style="1" customWidth="1"/>
    <col min="9" max="9" width="3.21875" customWidth="1"/>
    <col min="11" max="11" width="13.77734375" style="114" bestFit="1" customWidth="1"/>
    <col min="12" max="12" width="13.21875" style="114" bestFit="1" customWidth="1"/>
    <col min="13" max="13" width="13.77734375" style="114" bestFit="1" customWidth="1"/>
    <col min="14" max="18" width="8.77734375" customWidth="1"/>
  </cols>
  <sheetData>
    <row r="1" spans="1:18" ht="15" thickBot="1">
      <c r="A1" s="1"/>
      <c r="J1" s="1"/>
    </row>
    <row r="2" spans="1:18">
      <c r="A2" s="321"/>
      <c r="B2" s="317"/>
      <c r="C2" s="446" t="s">
        <v>379</v>
      </c>
      <c r="D2" s="447"/>
      <c r="E2" s="447" t="s">
        <v>394</v>
      </c>
      <c r="F2" s="447"/>
      <c r="G2" s="446" t="s">
        <v>393</v>
      </c>
      <c r="H2" s="450"/>
      <c r="J2" s="125"/>
      <c r="K2" s="448" t="s">
        <v>401</v>
      </c>
      <c r="L2" s="449"/>
      <c r="M2" s="128"/>
      <c r="O2" s="310"/>
      <c r="P2" s="4"/>
      <c r="Q2" s="65"/>
    </row>
    <row r="3" spans="1:18" ht="15" thickBot="1">
      <c r="A3" s="322"/>
      <c r="B3" s="318" t="s">
        <v>385</v>
      </c>
      <c r="C3" s="181" t="s">
        <v>395</v>
      </c>
      <c r="D3" s="122" t="s">
        <v>396</v>
      </c>
      <c r="E3" s="122" t="s">
        <v>391</v>
      </c>
      <c r="F3" s="122" t="s">
        <v>392</v>
      </c>
      <c r="G3" s="181" t="s">
        <v>391</v>
      </c>
      <c r="H3" s="123" t="s">
        <v>392</v>
      </c>
      <c r="J3" s="126" t="s">
        <v>53</v>
      </c>
      <c r="K3" s="122" t="s">
        <v>391</v>
      </c>
      <c r="L3" s="122" t="s">
        <v>392</v>
      </c>
      <c r="M3" s="129" t="s">
        <v>9</v>
      </c>
      <c r="O3" s="312"/>
    </row>
    <row r="4" spans="1:18">
      <c r="A4" s="323">
        <f>'Inputs and Results'!C8</f>
        <v>2023</v>
      </c>
      <c r="B4" s="316">
        <f>('Inputs and Results'!C4*'Inputs and Results'!C10)*365</f>
        <v>160600000</v>
      </c>
      <c r="C4" s="340">
        <f>(B4/100000000)*Defaults!$B$37</f>
        <v>1.8629599999999999</v>
      </c>
      <c r="D4" s="314">
        <f>(B4/100000000)*Defaults!$B$38</f>
        <v>136.51000000000002</v>
      </c>
      <c r="E4" s="313">
        <f>C4/1.08863</f>
        <v>1.7112885002250535</v>
      </c>
      <c r="F4" s="314">
        <f>D4/1.19</f>
        <v>114.71428571428574</v>
      </c>
      <c r="G4" s="340">
        <f>IF('Inputs and Results'!$C$3="4U",(E4*(1-Defaults!$B$42)),IF('Inputs and Results'!$C$3="4D",(E4*(1-Defaults!$B$40)),(E4*(1-Defaults!$B$41))))</f>
        <v>0.5647252050742676</v>
      </c>
      <c r="H4" s="397">
        <f>IF('Inputs and Results'!$C$3="4U",(F4*(1-Defaults!$B$42)),IF('Inputs and Results'!$C$3="4D",(F4*(1-Defaults!$B$40)),(F4*(1-Defaults!$B$41))))</f>
        <v>37.855714285714285</v>
      </c>
      <c r="J4" s="127">
        <f>A4</f>
        <v>2023</v>
      </c>
      <c r="K4" s="124">
        <f>G4*Defaults!$B$36</f>
        <v>6006756.1162929544</v>
      </c>
      <c r="L4" s="124">
        <f>H4*Defaults!$B$35</f>
        <v>9486642</v>
      </c>
      <c r="M4" s="130">
        <f>K4+L4</f>
        <v>15493398.116292953</v>
      </c>
      <c r="O4" s="312"/>
    </row>
    <row r="5" spans="1:18">
      <c r="A5" s="323">
        <f>A4+1</f>
        <v>2024</v>
      </c>
      <c r="B5" s="316">
        <f>B4*(1+'Travel Impacts'!$B$6)</f>
        <v>163812000</v>
      </c>
      <c r="C5" s="340">
        <f>(B5/100000000)*Defaults!$B$37</f>
        <v>1.9002192</v>
      </c>
      <c r="D5" s="314">
        <f>(B5/100000000)*Defaults!$B$38</f>
        <v>139.24020000000002</v>
      </c>
      <c r="E5" s="313">
        <f t="shared" ref="E5:E23" si="0">C5/1.08863</f>
        <v>1.7455142702295545</v>
      </c>
      <c r="F5" s="314">
        <f t="shared" ref="F5:F23" si="1">D5/1.19</f>
        <v>117.00857142857144</v>
      </c>
      <c r="G5" s="340">
        <f>IF('Inputs and Results'!$C$3="4U",(E5*(1-Defaults!$B$42)),IF('Inputs and Results'!$C$3="4D",(E5*(1-Defaults!$B$40)),(E5*(1-Defaults!$B$41))))</f>
        <v>0.57601970917575296</v>
      </c>
      <c r="H5" s="397">
        <f>IF('Inputs and Results'!$C$3="4U",(F5*(1-Defaults!$B$42)),IF('Inputs and Results'!$C$3="4D",(F5*(1-Defaults!$B$40)),(F5*(1-Defaults!$B$41))))</f>
        <v>38.612828571428572</v>
      </c>
      <c r="J5" s="127">
        <f t="shared" ref="J5:J23" si="2">A5</f>
        <v>2024</v>
      </c>
      <c r="K5" s="124">
        <f>G5*Defaults!$B$36</f>
        <v>6126891.2386188135</v>
      </c>
      <c r="L5" s="124">
        <f>H5*Defaults!$B$35</f>
        <v>9676374.8399999999</v>
      </c>
      <c r="M5" s="130">
        <f t="shared" ref="M5:M23" si="3">SUM(K5:L5)</f>
        <v>15803266.078618813</v>
      </c>
      <c r="O5" s="312"/>
    </row>
    <row r="6" spans="1:18">
      <c r="A6" s="323">
        <f t="shared" ref="A6:A23" si="4">A5+1</f>
        <v>2025</v>
      </c>
      <c r="B6" s="316">
        <f>B5*(1+'Travel Impacts'!$B$6)</f>
        <v>167088240</v>
      </c>
      <c r="C6" s="340">
        <f>(B6/100000000)*Defaults!$B$37</f>
        <v>1.9382235839999999</v>
      </c>
      <c r="D6" s="314">
        <f>(B6/100000000)*Defaults!$B$38</f>
        <v>142.025004</v>
      </c>
      <c r="E6" s="313">
        <f t="shared" si="0"/>
        <v>1.7804245556341456</v>
      </c>
      <c r="F6" s="314">
        <f t="shared" si="1"/>
        <v>119.34874285714285</v>
      </c>
      <c r="G6" s="340">
        <f>IF('Inputs and Results'!$C$3="4U",(E6*(1-Defaults!$B$42)),IF('Inputs and Results'!$C$3="4D",(E6*(1-Defaults!$B$40)),(E6*(1-Defaults!$B$41))))</f>
        <v>0.58754010335926798</v>
      </c>
      <c r="H6" s="397">
        <f>IF('Inputs and Results'!$C$3="4U",(F6*(1-Defaults!$B$42)),IF('Inputs and Results'!$C$3="4D",(F6*(1-Defaults!$B$40)),(F6*(1-Defaults!$B$41))))</f>
        <v>39.385085142857136</v>
      </c>
      <c r="J6" s="127">
        <f t="shared" si="2"/>
        <v>2025</v>
      </c>
      <c r="K6" s="124">
        <f>G6*Defaults!$B$36</f>
        <v>6249429.06339119</v>
      </c>
      <c r="L6" s="124">
        <f>H6*Defaults!$B$35</f>
        <v>9869902.3367999978</v>
      </c>
      <c r="M6" s="130">
        <f t="shared" si="3"/>
        <v>16119331.400191188</v>
      </c>
      <c r="O6" s="312"/>
    </row>
    <row r="7" spans="1:18">
      <c r="A7" s="323">
        <f t="shared" si="4"/>
        <v>2026</v>
      </c>
      <c r="B7" s="316">
        <f>B6*(1+'Travel Impacts'!$B$6)</f>
        <v>170430004.80000001</v>
      </c>
      <c r="C7" s="340">
        <f>(B7/100000000)*Defaults!$B$37</f>
        <v>1.9769880556799999</v>
      </c>
      <c r="D7" s="314">
        <f>(B7/100000000)*Defaults!$B$38</f>
        <v>144.86550408000002</v>
      </c>
      <c r="E7" s="313">
        <f t="shared" si="0"/>
        <v>1.8160330467468284</v>
      </c>
      <c r="F7" s="314">
        <f t="shared" si="1"/>
        <v>121.73571771428574</v>
      </c>
      <c r="G7" s="340">
        <f>IF('Inputs and Results'!$C$3="4U",(E7*(1-Defaults!$B$42)),IF('Inputs and Results'!$C$3="4D",(E7*(1-Defaults!$B$40)),(E7*(1-Defaults!$B$41))))</f>
        <v>0.59929090542645336</v>
      </c>
      <c r="H7" s="397">
        <f>IF('Inputs and Results'!$C$3="4U",(F7*(1-Defaults!$B$42)),IF('Inputs and Results'!$C$3="4D",(F7*(1-Defaults!$B$40)),(F7*(1-Defaults!$B$41))))</f>
        <v>40.172786845714292</v>
      </c>
      <c r="J7" s="127">
        <f t="shared" si="2"/>
        <v>2026</v>
      </c>
      <c r="K7" s="124">
        <f>G7*Defaults!$B$36</f>
        <v>6374417.6446590135</v>
      </c>
      <c r="L7" s="124">
        <f>H7*Defaults!$B$35</f>
        <v>10067300.383536002</v>
      </c>
      <c r="M7" s="130">
        <f t="shared" si="3"/>
        <v>16441718.028195016</v>
      </c>
    </row>
    <row r="8" spans="1:18">
      <c r="A8" s="323">
        <f t="shared" si="4"/>
        <v>2027</v>
      </c>
      <c r="B8" s="316">
        <f>B7*(1+'Travel Impacts'!$B$6)</f>
        <v>173838604.89600003</v>
      </c>
      <c r="C8" s="340">
        <f>(B8/100000000)*Defaults!$B$37</f>
        <v>2.0165278167936003</v>
      </c>
      <c r="D8" s="314">
        <f>(B8/100000000)*Defaults!$B$38</f>
        <v>147.76281416160003</v>
      </c>
      <c r="E8" s="313">
        <f t="shared" si="0"/>
        <v>1.8523537076817653</v>
      </c>
      <c r="F8" s="314">
        <f t="shared" si="1"/>
        <v>124.17043206857146</v>
      </c>
      <c r="G8" s="340">
        <f>IF('Inputs and Results'!$C$3="4U",(E8*(1-Defaults!$B$42)),IF('Inputs and Results'!$C$3="4D",(E8*(1-Defaults!$B$40)),(E8*(1-Defaults!$B$41))))</f>
        <v>0.61127672353498252</v>
      </c>
      <c r="H8" s="397">
        <f>IF('Inputs and Results'!$C$3="4U",(F8*(1-Defaults!$B$42)),IF('Inputs and Results'!$C$3="4D",(F8*(1-Defaults!$B$40)),(F8*(1-Defaults!$B$41))))</f>
        <v>40.976242582628579</v>
      </c>
      <c r="J8" s="127">
        <f t="shared" si="2"/>
        <v>2027</v>
      </c>
      <c r="K8" s="124">
        <f>G8*Defaults!$B$36</f>
        <v>6501905.9975521956</v>
      </c>
      <c r="L8" s="124">
        <f>H8*Defaults!$B$35</f>
        <v>10268646.391206723</v>
      </c>
      <c r="M8" s="130">
        <f t="shared" si="3"/>
        <v>16770552.388758918</v>
      </c>
      <c r="O8" s="3"/>
    </row>
    <row r="9" spans="1:18">
      <c r="A9" s="323">
        <f t="shared" si="4"/>
        <v>2028</v>
      </c>
      <c r="B9" s="316">
        <f>B8*(1+'Travel Impacts'!$B$6)</f>
        <v>177315376.99392003</v>
      </c>
      <c r="C9" s="340">
        <f>(B9/100000000)*Defaults!$B$37</f>
        <v>2.0568583731294723</v>
      </c>
      <c r="D9" s="314">
        <f>(B9/100000000)*Defaults!$B$38</f>
        <v>150.71807044483202</v>
      </c>
      <c r="E9" s="313">
        <f t="shared" si="0"/>
        <v>1.8894007818354008</v>
      </c>
      <c r="F9" s="314">
        <f t="shared" si="1"/>
        <v>126.65384070994288</v>
      </c>
      <c r="G9" s="340">
        <f>IF('Inputs and Results'!$C$3="4U",(E9*(1-Defaults!$B$42)),IF('Inputs and Results'!$C$3="4D",(E9*(1-Defaults!$B$40)),(E9*(1-Defaults!$B$41))))</f>
        <v>0.62350225800568215</v>
      </c>
      <c r="H9" s="397">
        <f>IF('Inputs and Results'!$C$3="4U",(F9*(1-Defaults!$B$42)),IF('Inputs and Results'!$C$3="4D",(F9*(1-Defaults!$B$40)),(F9*(1-Defaults!$B$41))))</f>
        <v>41.795767434281146</v>
      </c>
      <c r="J9" s="127">
        <f t="shared" si="2"/>
        <v>2028</v>
      </c>
      <c r="K9" s="124">
        <f>G9*Defaults!$B$36</f>
        <v>6631944.1175032388</v>
      </c>
      <c r="L9" s="124">
        <f>H9*Defaults!$B$35</f>
        <v>10474019.319030855</v>
      </c>
      <c r="M9" s="130">
        <f t="shared" si="3"/>
        <v>17105963.436534092</v>
      </c>
      <c r="O9" s="3"/>
    </row>
    <row r="10" spans="1:18">
      <c r="A10" s="323">
        <f t="shared" si="4"/>
        <v>2029</v>
      </c>
      <c r="B10" s="316">
        <f>B9*(1+'Travel Impacts'!$B$6)</f>
        <v>180861684.53379843</v>
      </c>
      <c r="C10" s="340">
        <f>(B10/100000000)*Defaults!$B$37</f>
        <v>2.0979955405920618</v>
      </c>
      <c r="D10" s="314">
        <f>(B10/100000000)*Defaults!$B$38</f>
        <v>153.73243185372866</v>
      </c>
      <c r="E10" s="313">
        <f t="shared" si="0"/>
        <v>1.9271887974721089</v>
      </c>
      <c r="F10" s="314">
        <f t="shared" si="1"/>
        <v>129.18691752414173</v>
      </c>
      <c r="G10" s="340">
        <f>IF('Inputs and Results'!$C$3="4U",(E10*(1-Defaults!$B$42)),IF('Inputs and Results'!$C$3="4D",(E10*(1-Defaults!$B$40)),(E10*(1-Defaults!$B$41))))</f>
        <v>0.63597230316579589</v>
      </c>
      <c r="H10" s="397">
        <f>IF('Inputs and Results'!$C$3="4U",(F10*(1-Defaults!$B$42)),IF('Inputs and Results'!$C$3="4D",(F10*(1-Defaults!$B$40)),(F10*(1-Defaults!$B$41))))</f>
        <v>42.63168278296677</v>
      </c>
      <c r="J10" s="127">
        <f t="shared" si="2"/>
        <v>2029</v>
      </c>
      <c r="K10" s="124">
        <f>G10*Defaults!$B$36</f>
        <v>6764582.9998533046</v>
      </c>
      <c r="L10" s="124">
        <f>H10*Defaults!$B$35</f>
        <v>10683499.705411473</v>
      </c>
      <c r="M10" s="130">
        <f t="shared" si="3"/>
        <v>17448082.705264777</v>
      </c>
      <c r="O10" s="3"/>
    </row>
    <row r="11" spans="1:18">
      <c r="A11" s="323">
        <f t="shared" si="4"/>
        <v>2030</v>
      </c>
      <c r="B11" s="316">
        <f>B10*(1+'Travel Impacts'!$B$6)</f>
        <v>184478918.2244744</v>
      </c>
      <c r="C11" s="340">
        <f>(B11/100000000)*Defaults!$B$37</f>
        <v>2.1399554514039028</v>
      </c>
      <c r="D11" s="314">
        <f>(B11/100000000)*Defaults!$B$38</f>
        <v>156.80708049080323</v>
      </c>
      <c r="E11" s="313">
        <f t="shared" si="0"/>
        <v>1.9657325734215507</v>
      </c>
      <c r="F11" s="314">
        <f t="shared" si="1"/>
        <v>131.77065587462457</v>
      </c>
      <c r="G11" s="340">
        <f>IF('Inputs and Results'!$C$3="4U",(E11*(1-Defaults!$B$42)),IF('Inputs and Results'!$C$3="4D",(E11*(1-Defaults!$B$40)),(E11*(1-Defaults!$B$41))))</f>
        <v>0.64869174922911166</v>
      </c>
      <c r="H11" s="397">
        <f>IF('Inputs and Results'!$C$3="4U",(F11*(1-Defaults!$B$42)),IF('Inputs and Results'!$C$3="4D",(F11*(1-Defaults!$B$40)),(F11*(1-Defaults!$B$41))))</f>
        <v>43.484316438626102</v>
      </c>
      <c r="J11" s="127">
        <f t="shared" si="2"/>
        <v>2030</v>
      </c>
      <c r="K11" s="124">
        <f>G11*Defaults!$B$36</f>
        <v>6899874.6598503692</v>
      </c>
      <c r="L11" s="124">
        <f>H11*Defaults!$B$35</f>
        <v>10897169.699519701</v>
      </c>
      <c r="M11" s="130">
        <f t="shared" si="3"/>
        <v>17797044.359370071</v>
      </c>
      <c r="O11" s="3"/>
      <c r="P11" s="1"/>
      <c r="Q11" s="13"/>
      <c r="R11" s="1"/>
    </row>
    <row r="12" spans="1:18">
      <c r="A12" s="323">
        <f t="shared" si="4"/>
        <v>2031</v>
      </c>
      <c r="B12" s="316">
        <f>B11*(1+'Travel Impacts'!$B$6)</f>
        <v>188168496.5889639</v>
      </c>
      <c r="C12" s="340">
        <f>(B12/100000000)*Defaults!$B$37</f>
        <v>2.1827545604319809</v>
      </c>
      <c r="D12" s="314">
        <f>(B12/100000000)*Defaults!$B$38</f>
        <v>159.94322210061929</v>
      </c>
      <c r="E12" s="313">
        <f t="shared" si="0"/>
        <v>2.005047224889982</v>
      </c>
      <c r="F12" s="314">
        <f t="shared" si="1"/>
        <v>134.40606899211707</v>
      </c>
      <c r="G12" s="340">
        <f>IF('Inputs and Results'!$C$3="4U",(E12*(1-Defaults!$B$42)),IF('Inputs and Results'!$C$3="4D",(E12*(1-Defaults!$B$40)),(E12*(1-Defaults!$B$41))))</f>
        <v>0.66166558421369392</v>
      </c>
      <c r="H12" s="397">
        <f>IF('Inputs and Results'!$C$3="4U",(F12*(1-Defaults!$B$42)),IF('Inputs and Results'!$C$3="4D",(F12*(1-Defaults!$B$40)),(F12*(1-Defaults!$B$41))))</f>
        <v>44.354002767398626</v>
      </c>
      <c r="J12" s="127">
        <f t="shared" si="2"/>
        <v>2031</v>
      </c>
      <c r="K12" s="124">
        <f>G12*Defaults!$B$36</f>
        <v>7037872.1530473772</v>
      </c>
      <c r="L12" s="124">
        <f>H12*Defaults!$B$35</f>
        <v>11115113.093510095</v>
      </c>
      <c r="M12" s="130">
        <f t="shared" si="3"/>
        <v>18152985.246557474</v>
      </c>
      <c r="O12" s="3"/>
      <c r="P12" s="309"/>
      <c r="Q12" s="13"/>
      <c r="R12" s="13"/>
    </row>
    <row r="13" spans="1:18">
      <c r="A13" s="323">
        <f t="shared" si="4"/>
        <v>2032</v>
      </c>
      <c r="B13" s="316">
        <f>B12*(1+'Travel Impacts'!$B$6)</f>
        <v>191931866.52074319</v>
      </c>
      <c r="C13" s="340">
        <f>(B13/100000000)*Defaults!$B$37</f>
        <v>2.2264096516406209</v>
      </c>
      <c r="D13" s="314">
        <f>(B13/100000000)*Defaults!$B$38</f>
        <v>163.14208654263172</v>
      </c>
      <c r="E13" s="313">
        <f t="shared" si="0"/>
        <v>2.0451481693877818</v>
      </c>
      <c r="F13" s="314">
        <f t="shared" si="1"/>
        <v>137.09419037195943</v>
      </c>
      <c r="G13" s="340">
        <f>IF('Inputs and Results'!$C$3="4U",(E13*(1-Defaults!$B$42)),IF('Inputs and Results'!$C$3="4D",(E13*(1-Defaults!$B$40)),(E13*(1-Defaults!$B$41))))</f>
        <v>0.67489889589796792</v>
      </c>
      <c r="H13" s="397">
        <f>IF('Inputs and Results'!$C$3="4U",(F13*(1-Defaults!$B$42)),IF('Inputs and Results'!$C$3="4D",(F13*(1-Defaults!$B$40)),(F13*(1-Defaults!$B$41))))</f>
        <v>45.241082822746606</v>
      </c>
      <c r="J13" s="127">
        <f t="shared" si="2"/>
        <v>2032</v>
      </c>
      <c r="K13" s="124">
        <f>G13*Defaults!$B$36</f>
        <v>7178629.5961083258</v>
      </c>
      <c r="L13" s="124">
        <f>H13*Defaults!$B$35</f>
        <v>11337415.355380299</v>
      </c>
      <c r="M13" s="130">
        <f t="shared" si="3"/>
        <v>18516044.951488625</v>
      </c>
      <c r="O13" s="3"/>
      <c r="P13" s="121"/>
      <c r="Q13" s="13"/>
      <c r="R13" s="13"/>
    </row>
    <row r="14" spans="1:18">
      <c r="A14" s="323">
        <f t="shared" si="4"/>
        <v>2033</v>
      </c>
      <c r="B14" s="316">
        <f>B13*(1+'Travel Impacts'!$B$6)</f>
        <v>195770503.85115805</v>
      </c>
      <c r="C14" s="340">
        <f>(B14/100000000)*Defaults!$B$37</f>
        <v>2.2709378446734334</v>
      </c>
      <c r="D14" s="314">
        <f>(B14/100000000)*Defaults!$B$38</f>
        <v>166.40492827348436</v>
      </c>
      <c r="E14" s="313">
        <f t="shared" si="0"/>
        <v>2.0860511327755376</v>
      </c>
      <c r="F14" s="314">
        <f t="shared" si="1"/>
        <v>139.83607417939862</v>
      </c>
      <c r="G14" s="340">
        <f>IF('Inputs and Results'!$C$3="4U",(E14*(1-Defaults!$B$42)),IF('Inputs and Results'!$C$3="4D",(E14*(1-Defaults!$B$40)),(E14*(1-Defaults!$B$41))))</f>
        <v>0.68839687381592729</v>
      </c>
      <c r="H14" s="397">
        <f>IF('Inputs and Results'!$C$3="4U",(F14*(1-Defaults!$B$42)),IF('Inputs and Results'!$C$3="4D",(F14*(1-Defaults!$B$40)),(F14*(1-Defaults!$B$41))))</f>
        <v>46.14590447920154</v>
      </c>
      <c r="J14" s="127">
        <f t="shared" si="2"/>
        <v>2033</v>
      </c>
      <c r="K14" s="124">
        <f>G14*Defaults!$B$36</f>
        <v>7322202.1880304925</v>
      </c>
      <c r="L14" s="124">
        <f>H14*Defaults!$B$35</f>
        <v>11564163.662487905</v>
      </c>
      <c r="M14" s="130">
        <f t="shared" si="3"/>
        <v>18886365.850518398</v>
      </c>
      <c r="O14" s="3"/>
      <c r="P14" s="309"/>
      <c r="Q14" s="13"/>
      <c r="R14" s="13"/>
    </row>
    <row r="15" spans="1:18">
      <c r="A15" s="323">
        <f t="shared" si="4"/>
        <v>2034</v>
      </c>
      <c r="B15" s="316">
        <f>B14*(1+'Travel Impacts'!$B$6)</f>
        <v>199685913.92818123</v>
      </c>
      <c r="C15" s="340">
        <f>(B15/100000000)*Defaults!$B$37</f>
        <v>2.3163566015669019</v>
      </c>
      <c r="D15" s="314">
        <f>(B15/100000000)*Defaults!$B$38</f>
        <v>169.73302683895403</v>
      </c>
      <c r="E15" s="313">
        <f t="shared" si="0"/>
        <v>2.1277721554310483</v>
      </c>
      <c r="F15" s="314">
        <f t="shared" si="1"/>
        <v>142.63279566298658</v>
      </c>
      <c r="G15" s="340">
        <f>IF('Inputs and Results'!$C$3="4U",(E15*(1-Defaults!$B$42)),IF('Inputs and Results'!$C$3="4D",(E15*(1-Defaults!$B$40)),(E15*(1-Defaults!$B$41))))</f>
        <v>0.70216481129224584</v>
      </c>
      <c r="H15" s="397">
        <f>IF('Inputs and Results'!$C$3="4U",(F15*(1-Defaults!$B$42)),IF('Inputs and Results'!$C$3="4D",(F15*(1-Defaults!$B$40)),(F15*(1-Defaults!$B$41))))</f>
        <v>47.068822568785563</v>
      </c>
      <c r="J15" s="127">
        <f t="shared" si="2"/>
        <v>2034</v>
      </c>
      <c r="K15" s="124">
        <f>G15*Defaults!$B$36</f>
        <v>7468646.2317911023</v>
      </c>
      <c r="L15" s="124">
        <f>H15*Defaults!$B$35</f>
        <v>11795446.935737662</v>
      </c>
      <c r="M15" s="130">
        <f t="shared" si="3"/>
        <v>19264093.167528763</v>
      </c>
      <c r="O15" s="3"/>
      <c r="P15" s="121"/>
      <c r="Q15" s="13"/>
      <c r="R15" s="13"/>
    </row>
    <row r="16" spans="1:18">
      <c r="A16" s="323">
        <f t="shared" si="4"/>
        <v>2035</v>
      </c>
      <c r="B16" s="316">
        <f>B15*(1+'Travel Impacts'!$B$6)</f>
        <v>203679632.20674485</v>
      </c>
      <c r="C16" s="340">
        <f>(B16/100000000)*Defaults!$B$37</f>
        <v>2.36268373359824</v>
      </c>
      <c r="D16" s="314">
        <f>(B16/100000000)*Defaults!$B$38</f>
        <v>173.12768737573313</v>
      </c>
      <c r="E16" s="313">
        <f t="shared" si="0"/>
        <v>2.1703275985396693</v>
      </c>
      <c r="F16" s="314">
        <f t="shared" si="1"/>
        <v>145.48545157624633</v>
      </c>
      <c r="G16" s="340">
        <f>IF('Inputs and Results'!$C$3="4U",(E16*(1-Defaults!$B$42)),IF('Inputs and Results'!$C$3="4D",(E16*(1-Defaults!$B$40)),(E16*(1-Defaults!$B$41))))</f>
        <v>0.71620810751809072</v>
      </c>
      <c r="H16" s="397">
        <f>IF('Inputs and Results'!$C$3="4U",(F16*(1-Defaults!$B$42)),IF('Inputs and Results'!$C$3="4D",(F16*(1-Defaults!$B$40)),(F16*(1-Defaults!$B$41))))</f>
        <v>48.010199020161288</v>
      </c>
      <c r="J16" s="127">
        <f t="shared" si="2"/>
        <v>2035</v>
      </c>
      <c r="K16" s="124">
        <f>G16*Defaults!$B$36</f>
        <v>7618019.1564269233</v>
      </c>
      <c r="L16" s="124">
        <f>H16*Defaults!$B$35</f>
        <v>12031355.87445242</v>
      </c>
      <c r="M16" s="130">
        <f t="shared" si="3"/>
        <v>19649375.030879341</v>
      </c>
      <c r="O16" s="3"/>
      <c r="P16" s="309"/>
      <c r="Q16" s="13"/>
      <c r="R16" s="13"/>
    </row>
    <row r="17" spans="1:18">
      <c r="A17" s="323">
        <f t="shared" si="4"/>
        <v>2036</v>
      </c>
      <c r="B17" s="316">
        <f>B16*(1+'Travel Impacts'!$B$6)</f>
        <v>207753224.85087976</v>
      </c>
      <c r="C17" s="340">
        <f>(B17/100000000)*Defaults!$B$37</f>
        <v>2.409937408270205</v>
      </c>
      <c r="D17" s="314">
        <f>(B17/100000000)*Defaults!$B$38</f>
        <v>176.59024112324781</v>
      </c>
      <c r="E17" s="313">
        <f t="shared" si="0"/>
        <v>2.2137341505104629</v>
      </c>
      <c r="F17" s="314">
        <f t="shared" si="1"/>
        <v>148.39516060777126</v>
      </c>
      <c r="G17" s="340">
        <f>IF('Inputs and Results'!$C$3="4U",(E17*(1-Defaults!$B$42)),IF('Inputs and Results'!$C$3="4D",(E17*(1-Defaults!$B$40)),(E17*(1-Defaults!$B$41))))</f>
        <v>0.73053226966845264</v>
      </c>
      <c r="H17" s="397">
        <f>IF('Inputs and Results'!$C$3="4U",(F17*(1-Defaults!$B$42)),IF('Inputs and Results'!$C$3="4D",(F17*(1-Defaults!$B$40)),(F17*(1-Defaults!$B$41))))</f>
        <v>48.970403000564509</v>
      </c>
      <c r="J17" s="127">
        <f t="shared" si="2"/>
        <v>2036</v>
      </c>
      <c r="K17" s="124">
        <f>G17*Defaults!$B$36</f>
        <v>7770379.539555463</v>
      </c>
      <c r="L17" s="124">
        <f>H17*Defaults!$B$35</f>
        <v>12271982.991941467</v>
      </c>
      <c r="M17" s="130">
        <f t="shared" si="3"/>
        <v>20042362.531496931</v>
      </c>
      <c r="O17" s="3"/>
      <c r="P17" s="121"/>
      <c r="Q17" s="13"/>
      <c r="R17" s="13"/>
    </row>
    <row r="18" spans="1:18">
      <c r="A18" s="323">
        <f t="shared" si="4"/>
        <v>2037</v>
      </c>
      <c r="B18" s="316">
        <f>B17*(1+'Travel Impacts'!$B$6)</f>
        <v>211908289.34789735</v>
      </c>
      <c r="C18" s="340">
        <f>(B18/100000000)*Defaults!$B$37</f>
        <v>2.458136156435609</v>
      </c>
      <c r="D18" s="314">
        <f>(B18/100000000)*Defaults!$B$38</f>
        <v>180.12204594571276</v>
      </c>
      <c r="E18" s="313">
        <f t="shared" si="0"/>
        <v>2.2580088335206718</v>
      </c>
      <c r="F18" s="314">
        <f t="shared" si="1"/>
        <v>151.36306381992668</v>
      </c>
      <c r="G18" s="340">
        <f>IF('Inputs and Results'!$C$3="4U",(E18*(1-Defaults!$B$42)),IF('Inputs and Results'!$C$3="4D",(E18*(1-Defaults!$B$40)),(E18*(1-Defaults!$B$41))))</f>
        <v>0.74514291506182162</v>
      </c>
      <c r="H18" s="397">
        <f>IF('Inputs and Results'!$C$3="4U",(F18*(1-Defaults!$B$42)),IF('Inputs and Results'!$C$3="4D",(F18*(1-Defaults!$B$40)),(F18*(1-Defaults!$B$41))))</f>
        <v>49.949811060575797</v>
      </c>
      <c r="J18" s="127">
        <f t="shared" si="2"/>
        <v>2037</v>
      </c>
      <c r="K18" s="124">
        <f>G18*Defaults!$B$36</f>
        <v>7925787.130346572</v>
      </c>
      <c r="L18" s="124">
        <f>H18*Defaults!$B$35</f>
        <v>12517422.651780294</v>
      </c>
      <c r="M18" s="130">
        <f t="shared" si="3"/>
        <v>20443209.782126866</v>
      </c>
      <c r="O18" s="309"/>
      <c r="P18" s="309"/>
    </row>
    <row r="19" spans="1:18">
      <c r="A19" s="323">
        <f t="shared" si="4"/>
        <v>2038</v>
      </c>
      <c r="B19" s="316">
        <f>B18*(1+'Travel Impacts'!$B$6)</f>
        <v>216146455.1348553</v>
      </c>
      <c r="C19" s="340">
        <f>(B19/100000000)*Defaults!$B$37</f>
        <v>2.5072988795643214</v>
      </c>
      <c r="D19" s="314">
        <f>(B19/100000000)*Defaults!$B$38</f>
        <v>183.72448686462701</v>
      </c>
      <c r="E19" s="313">
        <f t="shared" si="0"/>
        <v>2.3031690101910853</v>
      </c>
      <c r="F19" s="314">
        <f t="shared" si="1"/>
        <v>154.39032509632523</v>
      </c>
      <c r="G19" s="340">
        <f>IF('Inputs and Results'!$C$3="4U",(E19*(1-Defaults!$B$42)),IF('Inputs and Results'!$C$3="4D",(E19*(1-Defaults!$B$40)),(E19*(1-Defaults!$B$41))))</f>
        <v>0.76004577336305812</v>
      </c>
      <c r="H19" s="397">
        <f>IF('Inputs and Results'!$C$3="4U",(F19*(1-Defaults!$B$42)),IF('Inputs and Results'!$C$3="4D",(F19*(1-Defaults!$B$40)),(F19*(1-Defaults!$B$41))))</f>
        <v>50.948807281787317</v>
      </c>
      <c r="J19" s="127">
        <f t="shared" si="2"/>
        <v>2038</v>
      </c>
      <c r="K19" s="124">
        <f>G19*Defaults!$B$36</f>
        <v>8084302.8729535043</v>
      </c>
      <c r="L19" s="124">
        <f>H19*Defaults!$B$35</f>
        <v>12767771.104815902</v>
      </c>
      <c r="M19" s="130">
        <f t="shared" si="3"/>
        <v>20852073.977769405</v>
      </c>
      <c r="O19" s="309"/>
      <c r="P19" s="309"/>
    </row>
    <row r="20" spans="1:18">
      <c r="A20" s="323">
        <f t="shared" si="4"/>
        <v>2039</v>
      </c>
      <c r="B20" s="316">
        <f>B19*(1+'Travel Impacts'!$B$6)</f>
        <v>220469384.2375524</v>
      </c>
      <c r="C20" s="340">
        <f>(B20/100000000)*Defaults!$B$37</f>
        <v>2.5574448571556081</v>
      </c>
      <c r="D20" s="314">
        <f>(B20/100000000)*Defaults!$B$38</f>
        <v>187.39897660191957</v>
      </c>
      <c r="E20" s="313">
        <f t="shared" si="0"/>
        <v>2.3492323903949073</v>
      </c>
      <c r="F20" s="314">
        <f t="shared" si="1"/>
        <v>157.47813159825174</v>
      </c>
      <c r="G20" s="340">
        <f>IF('Inputs and Results'!$C$3="4U",(E20*(1-Defaults!$B$42)),IF('Inputs and Results'!$C$3="4D",(E20*(1-Defaults!$B$40)),(E20*(1-Defaults!$B$41))))</f>
        <v>0.77524668883031933</v>
      </c>
      <c r="H20" s="397">
        <f>IF('Inputs and Results'!$C$3="4U",(F20*(1-Defaults!$B$42)),IF('Inputs and Results'!$C$3="4D",(F20*(1-Defaults!$B$40)),(F20*(1-Defaults!$B$41))))</f>
        <v>51.967783427423065</v>
      </c>
      <c r="J20" s="127">
        <f t="shared" si="2"/>
        <v>2039</v>
      </c>
      <c r="K20" s="124">
        <f>G20*Defaults!$B$36</f>
        <v>8245988.9304125747</v>
      </c>
      <c r="L20" s="124">
        <f>H20*Defaults!$B$35</f>
        <v>13023126.52691222</v>
      </c>
      <c r="M20" s="130">
        <f t="shared" si="3"/>
        <v>21269115.457324795</v>
      </c>
      <c r="O20" s="309"/>
      <c r="P20" s="309"/>
    </row>
    <row r="21" spans="1:18">
      <c r="A21" s="323">
        <f t="shared" si="4"/>
        <v>2040</v>
      </c>
      <c r="B21" s="316">
        <f>B20*(1+'Travel Impacts'!$B$6)</f>
        <v>224878771.92230347</v>
      </c>
      <c r="C21" s="340">
        <f>(B21/100000000)*Defaults!$B$37</f>
        <v>2.6085937542987199</v>
      </c>
      <c r="D21" s="314">
        <f>(B21/100000000)*Defaults!$B$38</f>
        <v>191.14695613395793</v>
      </c>
      <c r="E21" s="313">
        <f t="shared" si="0"/>
        <v>2.3962170382028054</v>
      </c>
      <c r="F21" s="314">
        <f t="shared" si="1"/>
        <v>160.62769423021675</v>
      </c>
      <c r="G21" s="340">
        <f>IF('Inputs and Results'!$C$3="4U",(E21*(1-Defaults!$B$42)),IF('Inputs and Results'!$C$3="4D",(E21*(1-Defaults!$B$40)),(E21*(1-Defaults!$B$41))))</f>
        <v>0.79075162260692566</v>
      </c>
      <c r="H21" s="397">
        <f>IF('Inputs and Results'!$C$3="4U",(F21*(1-Defaults!$B$42)),IF('Inputs and Results'!$C$3="4D",(F21*(1-Defaults!$B$40)),(F21*(1-Defaults!$B$41))))</f>
        <v>53.007139095971517</v>
      </c>
      <c r="J21" s="127">
        <f t="shared" si="2"/>
        <v>2040</v>
      </c>
      <c r="K21" s="124">
        <f>G21*Defaults!$B$36</f>
        <v>8410908.7090208251</v>
      </c>
      <c r="L21" s="124">
        <f>H21*Defaults!$B$35</f>
        <v>13283589.057450462</v>
      </c>
      <c r="M21" s="130">
        <f t="shared" si="3"/>
        <v>21694497.766471289</v>
      </c>
      <c r="O21" s="309"/>
      <c r="P21" s="309"/>
    </row>
    <row r="22" spans="1:18">
      <c r="A22" s="323">
        <f t="shared" si="4"/>
        <v>2041</v>
      </c>
      <c r="B22" s="316">
        <f>B21*(1+'Travel Impacts'!$B$6)</f>
        <v>229376347.36074954</v>
      </c>
      <c r="C22" s="340">
        <f>(B22/100000000)*Defaults!$B$37</f>
        <v>2.6607656293846942</v>
      </c>
      <c r="D22" s="314">
        <f>(B22/100000000)*Defaults!$B$38</f>
        <v>194.9698952566371</v>
      </c>
      <c r="E22" s="313">
        <f t="shared" si="0"/>
        <v>2.4441413789668611</v>
      </c>
      <c r="F22" s="314">
        <f t="shared" si="1"/>
        <v>163.84024811482109</v>
      </c>
      <c r="G22" s="340">
        <f>IF('Inputs and Results'!$C$3="4U",(E22*(1-Defaults!$B$42)),IF('Inputs and Results'!$C$3="4D",(E22*(1-Defaults!$B$40)),(E22*(1-Defaults!$B$41))))</f>
        <v>0.80656665505906411</v>
      </c>
      <c r="H22" s="397">
        <f>IF('Inputs and Results'!$C$3="4U",(F22*(1-Defaults!$B$42)),IF('Inputs and Results'!$C$3="4D",(F22*(1-Defaults!$B$40)),(F22*(1-Defaults!$B$41))))</f>
        <v>54.067281877890956</v>
      </c>
      <c r="J22" s="127">
        <f t="shared" si="2"/>
        <v>2041</v>
      </c>
      <c r="K22" s="124">
        <f>G22*Defaults!$B$36</f>
        <v>8579126.8832012415</v>
      </c>
      <c r="L22" s="124">
        <f>H22*Defaults!$B$35</f>
        <v>13549260.838599473</v>
      </c>
      <c r="M22" s="130">
        <f t="shared" si="3"/>
        <v>22128387.721800715</v>
      </c>
      <c r="O22" s="310"/>
      <c r="P22" s="310"/>
      <c r="Q22" s="2"/>
    </row>
    <row r="23" spans="1:18" ht="15" thickBot="1">
      <c r="A23" s="323">
        <f t="shared" si="4"/>
        <v>2042</v>
      </c>
      <c r="B23" s="316">
        <f>B22*(1+'Travel Impacts'!$B$6)</f>
        <v>233963874.30796453</v>
      </c>
      <c r="C23" s="340">
        <f>(B23/100000000)*Defaults!$B$37</f>
        <v>2.7139809419723884</v>
      </c>
      <c r="D23" s="314">
        <f>(B23/100000000)*Defaults!$B$38</f>
        <v>198.86929316176986</v>
      </c>
      <c r="E23" s="313">
        <f t="shared" si="0"/>
        <v>2.4930242065461989</v>
      </c>
      <c r="F23" s="314">
        <f t="shared" si="1"/>
        <v>167.11705307711753</v>
      </c>
      <c r="G23" s="340">
        <f>IF('Inputs and Results'!$C$3="4U",(E23*(1-Defaults!$B$42)),IF('Inputs and Results'!$C$3="4D",(E23*(1-Defaults!$B$40)),(E23*(1-Defaults!$B$41))))</f>
        <v>0.82269798816024553</v>
      </c>
      <c r="H23" s="397">
        <f>IF('Inputs and Results'!$C$3="4U",(F23*(1-Defaults!$B$42)),IF('Inputs and Results'!$C$3="4D",(F23*(1-Defaults!$B$40)),(F23*(1-Defaults!$B$41))))</f>
        <v>55.14862751544878</v>
      </c>
      <c r="J23" s="127">
        <f t="shared" si="2"/>
        <v>2042</v>
      </c>
      <c r="K23" s="124">
        <f>G23*Defaults!$B$36</f>
        <v>8750709.4208652675</v>
      </c>
      <c r="L23" s="124">
        <f>H23*Defaults!$B$35</f>
        <v>13820246.055371465</v>
      </c>
      <c r="M23" s="130">
        <f t="shared" si="3"/>
        <v>22570955.476236731</v>
      </c>
      <c r="O23" s="309"/>
      <c r="P23" s="311"/>
      <c r="Q23" s="57"/>
    </row>
    <row r="24" spans="1:18" ht="15" thickBot="1">
      <c r="A24" s="324"/>
      <c r="B24" s="320"/>
      <c r="C24" s="339">
        <f t="shared" ref="C24:H24" si="5">SUM(C4:C23)</f>
        <v>45.265028040591758</v>
      </c>
      <c r="D24" s="315">
        <f t="shared" si="5"/>
        <v>3316.8339512502585</v>
      </c>
      <c r="E24" s="315">
        <f t="shared" si="5"/>
        <v>41.579809522603426</v>
      </c>
      <c r="F24" s="315">
        <f t="shared" si="5"/>
        <v>2787.2554212187042</v>
      </c>
      <c r="G24" s="339">
        <f t="shared" si="5"/>
        <v>13.721337142459129</v>
      </c>
      <c r="H24" s="319">
        <f t="shared" si="5"/>
        <v>919.7942890021726</v>
      </c>
      <c r="J24" s="131" t="s">
        <v>9</v>
      </c>
      <c r="K24" s="132">
        <f>SUM(K4:K23)</f>
        <v>145948374.64948073</v>
      </c>
      <c r="L24" s="132">
        <f>SUM(L4:L23)</f>
        <v>230500448.82394442</v>
      </c>
      <c r="M24" s="133">
        <f>SUM(M4:M23)</f>
        <v>376448823.47342515</v>
      </c>
    </row>
    <row r="26" spans="1:18">
      <c r="G26" s="13"/>
      <c r="H26" s="13"/>
    </row>
    <row r="27" spans="1:18">
      <c r="F27" s="396"/>
      <c r="G27" s="13"/>
      <c r="H27" s="13"/>
    </row>
    <row r="28" spans="1:18">
      <c r="G28" s="13"/>
      <c r="H28" s="13"/>
    </row>
  </sheetData>
  <mergeCells count="4">
    <mergeCell ref="C2:D2"/>
    <mergeCell ref="K2:L2"/>
    <mergeCell ref="E2:F2"/>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topLeftCell="A2" workbookViewId="0">
      <selection activeCell="C26" sqref="C26"/>
    </sheetView>
  </sheetViews>
  <sheetFormatPr defaultRowHeight="14.4"/>
  <cols>
    <col min="1" max="1" width="45.77734375" bestFit="1" customWidth="1"/>
    <col min="2" max="2" width="14.33203125" style="25" bestFit="1" customWidth="1"/>
  </cols>
  <sheetData>
    <row r="1" spans="1:13" s="1" customFormat="1">
      <c r="A1" s="12" t="s">
        <v>1</v>
      </c>
      <c r="B1" s="400" t="s">
        <v>94</v>
      </c>
      <c r="C1" s="12" t="s">
        <v>420</v>
      </c>
    </row>
    <row r="2" spans="1:13">
      <c r="A2" s="21" t="s">
        <v>0</v>
      </c>
      <c r="B2" s="25">
        <v>29.5</v>
      </c>
      <c r="C2" s="137" t="s">
        <v>71</v>
      </c>
      <c r="D2" s="1"/>
      <c r="E2" s="1"/>
      <c r="F2" s="1"/>
      <c r="G2" s="1"/>
      <c r="H2" s="1"/>
      <c r="I2" s="1"/>
      <c r="J2" s="1"/>
      <c r="K2" s="1"/>
      <c r="L2" s="1"/>
      <c r="M2" s="1"/>
    </row>
    <row r="3" spans="1:13" s="1" customFormat="1">
      <c r="A3" s="21" t="s">
        <v>336</v>
      </c>
      <c r="B3" s="25">
        <v>16.600000000000001</v>
      </c>
      <c r="C3" s="137" t="s">
        <v>71</v>
      </c>
    </row>
    <row r="4" spans="1:13" s="1" customFormat="1">
      <c r="A4" s="21" t="s">
        <v>348</v>
      </c>
      <c r="B4" s="30">
        <v>1</v>
      </c>
      <c r="C4" s="137" t="s">
        <v>71</v>
      </c>
    </row>
    <row r="5" spans="1:13" s="1" customFormat="1">
      <c r="A5" s="21" t="s">
        <v>4</v>
      </c>
      <c r="B5" s="30">
        <v>1.67</v>
      </c>
      <c r="C5" s="1" t="s">
        <v>75</v>
      </c>
    </row>
    <row r="6" spans="1:13">
      <c r="A6" s="12" t="s">
        <v>2</v>
      </c>
      <c r="C6" s="1"/>
      <c r="D6" s="1"/>
      <c r="E6" s="1"/>
      <c r="F6" s="1"/>
      <c r="G6" s="1"/>
      <c r="H6" s="1"/>
      <c r="I6" s="1"/>
      <c r="J6" s="1"/>
      <c r="K6" s="1"/>
      <c r="L6" s="1"/>
      <c r="M6" s="1"/>
    </row>
    <row r="7" spans="1:13" s="1" customFormat="1">
      <c r="A7" s="21" t="s">
        <v>349</v>
      </c>
      <c r="B7" s="25">
        <f>B32</f>
        <v>0.48311506999999998</v>
      </c>
      <c r="C7" s="1" t="s">
        <v>70</v>
      </c>
    </row>
    <row r="8" spans="1:13">
      <c r="A8" s="21" t="s">
        <v>350</v>
      </c>
      <c r="B8" s="25">
        <f>B33</f>
        <v>7.1534799999999996E-2</v>
      </c>
      <c r="C8" s="1" t="s">
        <v>70</v>
      </c>
      <c r="D8" s="1"/>
      <c r="E8" s="1"/>
      <c r="F8" s="1"/>
      <c r="G8" s="1"/>
      <c r="H8" s="1"/>
      <c r="I8" s="1"/>
      <c r="J8" s="1"/>
      <c r="K8" s="1"/>
      <c r="L8" s="1"/>
      <c r="M8" s="1"/>
    </row>
    <row r="9" spans="1:13" s="1" customFormat="1">
      <c r="A9" s="21" t="s">
        <v>352</v>
      </c>
      <c r="B9" s="25">
        <f>55*0.0894</f>
        <v>4.9169999999999998</v>
      </c>
      <c r="C9" s="1" t="s">
        <v>81</v>
      </c>
    </row>
    <row r="10" spans="1:13" s="1" customFormat="1">
      <c r="A10" s="21" t="s">
        <v>351</v>
      </c>
      <c r="B10" s="25">
        <f>(10.45+6.72+3.32+0.95+1.5+1.17)</f>
        <v>24.11</v>
      </c>
      <c r="C10" s="1" t="s">
        <v>405</v>
      </c>
      <c r="L10" s="112" t="s">
        <v>66</v>
      </c>
    </row>
    <row r="11" spans="1:13" s="1" customFormat="1">
      <c r="A11" s="21" t="s">
        <v>37</v>
      </c>
      <c r="B11" s="30">
        <v>9.84</v>
      </c>
      <c r="C11" s="1" t="s">
        <v>76</v>
      </c>
    </row>
    <row r="12" spans="1:13" s="1" customFormat="1">
      <c r="A12" s="21" t="s">
        <v>38</v>
      </c>
      <c r="B12" s="30">
        <v>1.83</v>
      </c>
      <c r="C12" s="1" t="s">
        <v>77</v>
      </c>
    </row>
    <row r="13" spans="1:13" s="1" customFormat="1">
      <c r="A13" s="21" t="s">
        <v>39</v>
      </c>
      <c r="B13" s="407">
        <v>2.81</v>
      </c>
      <c r="C13" s="112" t="s">
        <v>67</v>
      </c>
    </row>
    <row r="14" spans="1:13" s="1" customFormat="1">
      <c r="A14" s="21" t="s">
        <v>40</v>
      </c>
      <c r="B14" s="407">
        <v>2.35</v>
      </c>
      <c r="C14" s="112" t="s">
        <v>78</v>
      </c>
    </row>
    <row r="15" spans="1:13" s="1" customFormat="1">
      <c r="A15" s="21" t="s">
        <v>416</v>
      </c>
      <c r="B15" s="25">
        <f>B13*B11</f>
        <v>27.650400000000001</v>
      </c>
      <c r="C15" s="112"/>
    </row>
    <row r="16" spans="1:13" s="1" customFormat="1">
      <c r="A16" s="21" t="s">
        <v>417</v>
      </c>
      <c r="B16" s="25">
        <f>B14*B12</f>
        <v>4.3005000000000004</v>
      </c>
      <c r="C16" s="112"/>
    </row>
    <row r="17" spans="1:13">
      <c r="A17" s="401" t="s">
        <v>68</v>
      </c>
      <c r="C17" s="1"/>
      <c r="D17" s="1"/>
      <c r="E17" s="1"/>
      <c r="F17" s="1"/>
      <c r="G17" s="1"/>
      <c r="H17" s="1"/>
      <c r="I17" s="1"/>
      <c r="J17" s="1"/>
      <c r="K17" s="1"/>
      <c r="L17" s="1"/>
      <c r="M17" s="1"/>
    </row>
    <row r="18" spans="1:13">
      <c r="A18" s="1" t="s">
        <v>340</v>
      </c>
      <c r="B18" s="67">
        <f>1.843*10^-6</f>
        <v>1.843E-6</v>
      </c>
      <c r="C18" s="451" t="s">
        <v>425</v>
      </c>
      <c r="D18" s="451"/>
      <c r="E18" s="451"/>
      <c r="F18" s="451"/>
      <c r="G18" s="451"/>
      <c r="H18" s="451"/>
      <c r="I18" s="451"/>
      <c r="J18" s="451"/>
      <c r="K18" s="451"/>
      <c r="L18" s="451"/>
      <c r="M18" s="451"/>
    </row>
    <row r="19" spans="1:13">
      <c r="A19" s="1" t="s">
        <v>341</v>
      </c>
      <c r="B19" s="67">
        <f>4.171*10^-6</f>
        <v>4.1710000000000004E-6</v>
      </c>
      <c r="C19" s="451"/>
      <c r="D19" s="451"/>
      <c r="E19" s="451"/>
      <c r="F19" s="451"/>
      <c r="G19" s="451"/>
      <c r="H19" s="451"/>
      <c r="I19" s="451"/>
      <c r="J19" s="451"/>
      <c r="K19" s="451"/>
      <c r="L19" s="451"/>
      <c r="M19" s="451"/>
    </row>
    <row r="20" spans="1:13">
      <c r="A20" s="1" t="s">
        <v>342</v>
      </c>
      <c r="B20" s="67">
        <f>0.0447*10^-6</f>
        <v>4.4699999999999997E-8</v>
      </c>
      <c r="C20" s="451"/>
      <c r="D20" s="451"/>
      <c r="E20" s="451"/>
      <c r="F20" s="451"/>
      <c r="G20" s="451"/>
      <c r="H20" s="451"/>
      <c r="I20" s="451"/>
      <c r="J20" s="451"/>
      <c r="K20" s="451"/>
      <c r="L20" s="451"/>
      <c r="M20" s="451"/>
    </row>
    <row r="21" spans="1:13">
      <c r="A21" s="1" t="s">
        <v>343</v>
      </c>
      <c r="B21" s="67">
        <f>1.139*10^-6</f>
        <v>1.139E-6</v>
      </c>
      <c r="C21" s="451"/>
      <c r="D21" s="451"/>
      <c r="E21" s="451"/>
      <c r="F21" s="451"/>
      <c r="G21" s="451"/>
      <c r="H21" s="451"/>
      <c r="I21" s="451"/>
      <c r="J21" s="451"/>
      <c r="K21" s="451"/>
      <c r="L21" s="451"/>
      <c r="M21" s="451"/>
    </row>
    <row r="22" spans="1:13">
      <c r="A22" s="1" t="s">
        <v>344</v>
      </c>
      <c r="B22" s="67">
        <f>1.12*10^-6</f>
        <v>1.1200000000000001E-6</v>
      </c>
      <c r="C22" s="451"/>
      <c r="D22" s="451"/>
      <c r="E22" s="451"/>
      <c r="F22" s="451"/>
      <c r="G22" s="451"/>
      <c r="H22" s="451"/>
      <c r="I22" s="451"/>
      <c r="J22" s="451"/>
      <c r="K22" s="451"/>
      <c r="L22" s="451"/>
      <c r="M22" s="451"/>
    </row>
    <row r="23" spans="1:13">
      <c r="A23" s="1" t="s">
        <v>345</v>
      </c>
      <c r="B23" s="67">
        <f>0.929*10^-6</f>
        <v>9.2900000000000002E-7</v>
      </c>
      <c r="C23" s="451"/>
      <c r="D23" s="451"/>
      <c r="E23" s="451"/>
      <c r="F23" s="451"/>
      <c r="G23" s="451"/>
      <c r="H23" s="451"/>
      <c r="I23" s="451"/>
      <c r="J23" s="451"/>
      <c r="K23" s="451"/>
      <c r="L23" s="451"/>
      <c r="M23" s="451"/>
    </row>
    <row r="24" spans="1:13">
      <c r="A24" s="1" t="s">
        <v>346</v>
      </c>
      <c r="B24" s="67">
        <f>0</f>
        <v>0</v>
      </c>
      <c r="C24" s="451"/>
      <c r="D24" s="451"/>
      <c r="E24" s="451"/>
      <c r="F24" s="451"/>
      <c r="G24" s="451"/>
      <c r="H24" s="451"/>
      <c r="I24" s="451"/>
      <c r="J24" s="451"/>
      <c r="K24" s="451"/>
      <c r="L24" s="451"/>
      <c r="M24" s="451"/>
    </row>
    <row r="25" spans="1:13">
      <c r="A25" s="1" t="s">
        <v>347</v>
      </c>
      <c r="B25" s="67">
        <f>0.158*10^-6</f>
        <v>1.5799999999999999E-7</v>
      </c>
      <c r="C25" s="451"/>
      <c r="D25" s="451"/>
      <c r="E25" s="451"/>
      <c r="F25" s="451"/>
      <c r="G25" s="451"/>
      <c r="H25" s="451"/>
      <c r="I25" s="451"/>
      <c r="J25" s="451"/>
      <c r="K25" s="451"/>
      <c r="L25" s="451"/>
      <c r="M25" s="451"/>
    </row>
    <row r="26" spans="1:13">
      <c r="A26" s="12" t="s">
        <v>69</v>
      </c>
      <c r="B26" s="68"/>
      <c r="C26" s="137"/>
      <c r="D26" s="1"/>
      <c r="E26" s="1"/>
      <c r="F26" s="1"/>
      <c r="G26" s="1"/>
      <c r="H26" s="1"/>
      <c r="I26" s="1"/>
      <c r="J26" s="1"/>
      <c r="K26" s="1"/>
      <c r="L26" s="1"/>
      <c r="M26" s="1"/>
    </row>
    <row r="27" spans="1:13">
      <c r="A27" s="1" t="s">
        <v>41</v>
      </c>
      <c r="B27" s="113">
        <v>2100</v>
      </c>
      <c r="C27" s="1" t="s">
        <v>337</v>
      </c>
      <c r="D27" s="1"/>
      <c r="E27" s="1"/>
      <c r="F27" s="1"/>
      <c r="G27" s="1"/>
      <c r="H27" s="1"/>
      <c r="I27" s="1"/>
      <c r="J27" s="1"/>
      <c r="K27" s="1"/>
      <c r="L27" s="1"/>
      <c r="M27" s="1"/>
    </row>
    <row r="28" spans="1:13">
      <c r="A28" s="1" t="s">
        <v>42</v>
      </c>
      <c r="B28" s="113">
        <v>8600</v>
      </c>
      <c r="C28" s="1" t="s">
        <v>337</v>
      </c>
      <c r="D28" s="1"/>
      <c r="E28" s="1"/>
      <c r="F28" s="1"/>
      <c r="G28" s="1"/>
      <c r="H28" s="1"/>
      <c r="I28" s="1"/>
      <c r="J28" s="1"/>
      <c r="K28" s="1"/>
      <c r="L28" s="1"/>
      <c r="M28" s="1"/>
    </row>
    <row r="29" spans="1:13">
      <c r="A29" s="1" t="s">
        <v>43</v>
      </c>
      <c r="B29" s="113">
        <v>50100</v>
      </c>
      <c r="C29" s="1" t="s">
        <v>337</v>
      </c>
      <c r="D29" s="1"/>
      <c r="E29" s="1"/>
      <c r="F29" s="1"/>
      <c r="G29" s="1"/>
      <c r="H29" s="1"/>
      <c r="I29" s="1"/>
      <c r="J29" s="1"/>
      <c r="K29" s="1"/>
      <c r="L29" s="1"/>
      <c r="M29" s="1"/>
    </row>
    <row r="30" spans="1:13">
      <c r="A30" s="1" t="s">
        <v>44</v>
      </c>
      <c r="B30" s="113">
        <v>387300</v>
      </c>
      <c r="C30" s="1" t="s">
        <v>337</v>
      </c>
      <c r="D30" s="1"/>
      <c r="E30" s="1"/>
      <c r="F30" s="1"/>
      <c r="G30" s="1"/>
      <c r="H30" s="1"/>
      <c r="I30" s="1"/>
      <c r="J30" s="1"/>
      <c r="K30" s="1"/>
      <c r="L30" s="1"/>
      <c r="M30" s="1"/>
    </row>
    <row r="31" spans="1:13">
      <c r="A31" s="1" t="s">
        <v>45</v>
      </c>
      <c r="B31" s="113">
        <f>43</f>
        <v>43</v>
      </c>
      <c r="C31" s="1"/>
      <c r="D31" s="1"/>
      <c r="E31" s="1"/>
      <c r="F31" s="1"/>
      <c r="G31" s="1"/>
      <c r="H31" s="1"/>
      <c r="I31" s="1"/>
      <c r="J31" s="1"/>
      <c r="K31" s="1"/>
      <c r="L31" s="1"/>
      <c r="M31" s="1"/>
    </row>
    <row r="32" spans="1:13">
      <c r="A32" s="1" t="s">
        <v>338</v>
      </c>
      <c r="B32" s="25">
        <f>(B18*B27)+(B19*B28)+(B20*B29)+(B21*B30)</f>
        <v>0.48311506999999998</v>
      </c>
      <c r="C32" s="1"/>
      <c r="D32" s="1"/>
      <c r="E32" s="1"/>
      <c r="F32" s="1"/>
      <c r="G32" s="1"/>
      <c r="H32" s="1"/>
      <c r="I32" s="1"/>
      <c r="J32" s="1"/>
      <c r="K32" s="1"/>
      <c r="L32" s="1"/>
      <c r="M32" s="1"/>
    </row>
    <row r="33" spans="1:13">
      <c r="A33" s="1" t="s">
        <v>339</v>
      </c>
      <c r="B33" s="25">
        <f>(B22*B27)+(B23*B28)+(B24*B29)+(B25*B30)</f>
        <v>7.1534799999999996E-2</v>
      </c>
      <c r="C33" s="1"/>
      <c r="D33" s="1"/>
      <c r="E33" s="1"/>
      <c r="F33" s="1"/>
      <c r="G33" s="1"/>
      <c r="H33" s="1"/>
      <c r="I33" s="1"/>
      <c r="J33" s="1"/>
      <c r="K33" s="1"/>
      <c r="L33" s="1"/>
      <c r="M33" s="1"/>
    </row>
    <row r="34" spans="1:13">
      <c r="A34" s="12" t="s">
        <v>418</v>
      </c>
      <c r="C34" s="1"/>
      <c r="D34" s="1"/>
      <c r="E34" s="1"/>
      <c r="F34" s="1"/>
      <c r="G34" s="1"/>
      <c r="H34" s="1"/>
      <c r="I34" s="1"/>
      <c r="J34" s="1"/>
      <c r="K34" s="1"/>
      <c r="L34" s="1"/>
      <c r="M34" s="1"/>
    </row>
    <row r="35" spans="1:13">
      <c r="A35" t="s">
        <v>389</v>
      </c>
      <c r="B35" s="113">
        <v>250600</v>
      </c>
      <c r="C35" s="1" t="s">
        <v>337</v>
      </c>
      <c r="D35" s="1"/>
      <c r="E35" s="1"/>
      <c r="F35" s="1"/>
      <c r="G35" s="1"/>
      <c r="H35" s="1"/>
      <c r="I35" s="1"/>
      <c r="J35" s="1"/>
      <c r="K35" s="1"/>
      <c r="L35" s="1"/>
      <c r="M35" s="1"/>
    </row>
    <row r="36" spans="1:13">
      <c r="A36" t="s">
        <v>390</v>
      </c>
      <c r="B36" s="113">
        <v>10636600</v>
      </c>
      <c r="C36" s="1" t="s">
        <v>337</v>
      </c>
    </row>
    <row r="37" spans="1:13">
      <c r="A37" s="182" t="s">
        <v>398</v>
      </c>
      <c r="B37" s="1">
        <v>1.1599999999999999</v>
      </c>
      <c r="C37" s="112" t="s">
        <v>387</v>
      </c>
    </row>
    <row r="38" spans="1:13">
      <c r="A38" t="s">
        <v>386</v>
      </c>
      <c r="B38">
        <v>85</v>
      </c>
      <c r="C38" s="112" t="s">
        <v>387</v>
      </c>
    </row>
    <row r="39" spans="1:13">
      <c r="A39" s="12" t="s">
        <v>419</v>
      </c>
      <c r="B39" s="177"/>
    </row>
    <row r="40" spans="1:13">
      <c r="A40" s="1" t="s">
        <v>383</v>
      </c>
      <c r="B40" s="161">
        <v>0.34100000000000003</v>
      </c>
      <c r="C40" s="3" t="s">
        <v>325</v>
      </c>
      <c r="D40" s="57" t="s">
        <v>403</v>
      </c>
      <c r="E40" s="112" t="s">
        <v>73</v>
      </c>
    </row>
    <row r="41" spans="1:13">
      <c r="A41" s="1" t="s">
        <v>384</v>
      </c>
      <c r="B41" s="161">
        <v>0.67</v>
      </c>
      <c r="C41" s="3" t="s">
        <v>324</v>
      </c>
      <c r="D41" s="57" t="s">
        <v>404</v>
      </c>
      <c r="E41" s="112" t="s">
        <v>73</v>
      </c>
    </row>
    <row r="42" spans="1:13">
      <c r="A42" s="1" t="s">
        <v>413</v>
      </c>
      <c r="B42" s="395">
        <v>0.9</v>
      </c>
      <c r="C42" s="3" t="s">
        <v>326</v>
      </c>
      <c r="D42" s="112" t="s">
        <v>412</v>
      </c>
    </row>
    <row r="43" spans="1:13">
      <c r="A43" t="s">
        <v>402</v>
      </c>
      <c r="B43" s="308"/>
      <c r="C43" s="112" t="s">
        <v>388</v>
      </c>
    </row>
  </sheetData>
  <mergeCells count="1">
    <mergeCell ref="C18:M25"/>
  </mergeCells>
  <hyperlinks>
    <hyperlink ref="L10" r:id="rId1" xr:uid="{00000000-0004-0000-0600-000000000000}"/>
    <hyperlink ref="C2" r:id="rId2" xr:uid="{00000000-0004-0000-0600-000001000000}"/>
    <hyperlink ref="C4" r:id="rId3" xr:uid="{00000000-0004-0000-0600-000002000000}"/>
    <hyperlink ref="C13" r:id="rId4" xr:uid="{00000000-0004-0000-0600-000003000000}"/>
    <hyperlink ref="C14" r:id="rId5" xr:uid="{00000000-0004-0000-0600-000004000000}"/>
    <hyperlink ref="C3" r:id="rId6" xr:uid="{00000000-0004-0000-0600-000005000000}"/>
    <hyperlink ref="C38" r:id="rId7" display="https://cdan.nhtsa.gov/tsftables/tsfar.htm" xr:uid="{00000000-0004-0000-0600-000006000000}"/>
    <hyperlink ref="C37" r:id="rId8" display="https://cdan.nhtsa.gov/tsftables/tsfar.htm" xr:uid="{00000000-0004-0000-0600-000007000000}"/>
    <hyperlink ref="E40" r:id="rId9" xr:uid="{00000000-0004-0000-0600-000008000000}"/>
    <hyperlink ref="C43" r:id="rId10" xr:uid="{00000000-0004-0000-0600-000009000000}"/>
    <hyperlink ref="D42" r:id="rId11" xr:uid="{00000000-0004-0000-0600-00000A000000}"/>
    <hyperlink ref="E41" r:id="rId12" xr:uid="{00000000-0004-0000-0600-00000B000000}"/>
  </hyperlinks>
  <pageMargins left="0.7" right="0.7" top="0.75" bottom="0.75" header="0.3" footer="0.3"/>
  <pageSetup orientation="portrait"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6"/>
  <sheetViews>
    <sheetView workbookViewId="0">
      <selection activeCell="H80" sqref="H80"/>
    </sheetView>
  </sheetViews>
  <sheetFormatPr defaultColWidth="8.77734375" defaultRowHeight="14.4"/>
  <cols>
    <col min="1" max="1" width="18.109375" style="267" customWidth="1"/>
    <col min="2" max="2" width="8.6640625" style="267" customWidth="1"/>
    <col min="3" max="4" width="10.109375" style="267" bestFit="1" customWidth="1"/>
    <col min="5" max="6" width="9.77734375" style="267" customWidth="1"/>
    <col min="7" max="7" width="9.77734375" style="266" customWidth="1"/>
    <col min="8" max="8" width="7.5546875" style="267" bestFit="1" customWidth="1"/>
    <col min="9" max="11" width="9.77734375" style="267" customWidth="1"/>
    <col min="12" max="12" width="9.77734375" style="266" customWidth="1"/>
    <col min="13" max="13" width="7.5546875" style="267" bestFit="1" customWidth="1"/>
    <col min="14" max="15" width="9.77734375" style="267" customWidth="1"/>
    <col min="16" max="16" width="10.109375" style="267" bestFit="1" customWidth="1"/>
    <col min="17" max="16384" width="8.77734375" style="267"/>
  </cols>
  <sheetData>
    <row r="1" spans="1:16">
      <c r="B1" s="453" t="s">
        <v>376</v>
      </c>
      <c r="C1" s="453"/>
      <c r="D1" s="453"/>
      <c r="E1" s="453"/>
      <c r="F1" s="453"/>
      <c r="G1" s="453" t="s">
        <v>377</v>
      </c>
      <c r="H1" s="453"/>
      <c r="I1" s="453"/>
      <c r="J1" s="453"/>
      <c r="K1" s="453"/>
      <c r="L1" s="453" t="s">
        <v>378</v>
      </c>
      <c r="M1" s="453"/>
      <c r="N1" s="453"/>
      <c r="O1" s="453"/>
      <c r="P1" s="453"/>
    </row>
    <row r="2" spans="1:16" s="268" customFormat="1" ht="28.8">
      <c r="B2" s="269">
        <v>0.2</v>
      </c>
      <c r="C2" s="268" t="s">
        <v>382</v>
      </c>
      <c r="D2" s="268" t="s">
        <v>356</v>
      </c>
      <c r="E2" s="268" t="s">
        <v>357</v>
      </c>
      <c r="F2" s="1" t="s">
        <v>355</v>
      </c>
      <c r="G2" s="269">
        <v>0.3</v>
      </c>
      <c r="H2" s="268" t="s">
        <v>382</v>
      </c>
      <c r="I2" s="268" t="s">
        <v>356</v>
      </c>
      <c r="J2" s="268" t="s">
        <v>357</v>
      </c>
      <c r="K2" s="1" t="s">
        <v>355</v>
      </c>
      <c r="L2" s="269">
        <v>0.4</v>
      </c>
      <c r="M2" s="268" t="s">
        <v>382</v>
      </c>
      <c r="N2" s="268" t="s">
        <v>356</v>
      </c>
      <c r="O2" s="268" t="s">
        <v>357</v>
      </c>
      <c r="P2" s="1" t="s">
        <v>355</v>
      </c>
    </row>
    <row r="3" spans="1:16" s="271" customFormat="1">
      <c r="A3" s="457" t="s">
        <v>379</v>
      </c>
      <c r="B3" s="264" t="s">
        <v>380</v>
      </c>
      <c r="C3" s="248">
        <v>3000</v>
      </c>
      <c r="D3" s="342">
        <v>156.12744166666701</v>
      </c>
      <c r="E3" s="342">
        <v>26.349669444444402</v>
      </c>
      <c r="F3" s="342">
        <v>5552</v>
      </c>
      <c r="G3" s="286" t="s">
        <v>380</v>
      </c>
      <c r="H3" s="249">
        <v>3000</v>
      </c>
      <c r="I3" s="343">
        <v>148.250052777778</v>
      </c>
      <c r="J3" s="343">
        <v>39.260455555555602</v>
      </c>
      <c r="K3" s="343">
        <v>5553</v>
      </c>
      <c r="L3" s="280" t="s">
        <v>380</v>
      </c>
      <c r="M3" s="250">
        <v>3000</v>
      </c>
      <c r="N3" s="344">
        <v>138.86044722222201</v>
      </c>
      <c r="O3" s="344">
        <v>52.391424999999998</v>
      </c>
      <c r="P3" s="344">
        <v>5553</v>
      </c>
    </row>
    <row r="4" spans="1:16" s="271" customFormat="1">
      <c r="A4" s="457"/>
      <c r="B4" s="270" t="s">
        <v>380</v>
      </c>
      <c r="C4" s="248">
        <v>5000</v>
      </c>
      <c r="D4" s="342">
        <v>377.84189444444399</v>
      </c>
      <c r="E4" s="342">
        <v>59.668127777777798</v>
      </c>
      <c r="F4" s="342">
        <v>7544</v>
      </c>
      <c r="G4" s="286" t="s">
        <v>380</v>
      </c>
      <c r="H4" s="249">
        <v>5000</v>
      </c>
      <c r="I4" s="343">
        <v>355.34800833333298</v>
      </c>
      <c r="J4" s="343">
        <v>94.169266666666701</v>
      </c>
      <c r="K4" s="343">
        <v>7541</v>
      </c>
      <c r="L4" s="280" t="s">
        <v>380</v>
      </c>
      <c r="M4" s="250">
        <v>5000</v>
      </c>
      <c r="N4" s="344">
        <v>318.38532500000002</v>
      </c>
      <c r="O4" s="344">
        <v>126.86191388888901</v>
      </c>
      <c r="P4" s="344">
        <v>7541</v>
      </c>
    </row>
    <row r="5" spans="1:16" s="271" customFormat="1">
      <c r="A5" s="457"/>
      <c r="B5" s="270" t="s">
        <v>380</v>
      </c>
      <c r="C5" s="248">
        <v>7000</v>
      </c>
      <c r="D5" s="342">
        <v>679.38447222222203</v>
      </c>
      <c r="E5" s="342">
        <v>120.90028333333299</v>
      </c>
      <c r="F5" s="342">
        <v>9531</v>
      </c>
      <c r="G5" s="286" t="s">
        <v>380</v>
      </c>
      <c r="H5" s="249">
        <v>7000</v>
      </c>
      <c r="I5" s="343">
        <v>624.84867777777799</v>
      </c>
      <c r="J5" s="343">
        <v>188.86834166666699</v>
      </c>
      <c r="K5" s="343">
        <v>9530</v>
      </c>
      <c r="L5" s="280" t="s">
        <v>380</v>
      </c>
      <c r="M5" s="250">
        <v>7000</v>
      </c>
      <c r="N5" s="344">
        <v>566.35813888888902</v>
      </c>
      <c r="O5" s="344">
        <v>251.93421111111101</v>
      </c>
      <c r="P5" s="344">
        <v>9527</v>
      </c>
    </row>
    <row r="6" spans="1:16" s="271" customFormat="1">
      <c r="A6" s="457"/>
      <c r="B6" s="270" t="s">
        <v>380</v>
      </c>
      <c r="C6" s="248">
        <v>9000</v>
      </c>
      <c r="D6" s="342">
        <v>1052.83468888889</v>
      </c>
      <c r="E6" s="342">
        <v>203.365880555556</v>
      </c>
      <c r="F6" s="342">
        <v>11510</v>
      </c>
      <c r="G6" s="286" t="s">
        <v>380</v>
      </c>
      <c r="H6" s="249">
        <v>9000</v>
      </c>
      <c r="I6" s="343">
        <v>961.72540277777796</v>
      </c>
      <c r="J6" s="343">
        <v>312.07128611111102</v>
      </c>
      <c r="K6" s="343">
        <v>11510</v>
      </c>
      <c r="L6" s="280" t="s">
        <v>380</v>
      </c>
      <c r="M6" s="250">
        <v>9000</v>
      </c>
      <c r="N6" s="344">
        <v>861.28655277777796</v>
      </c>
      <c r="O6" s="344">
        <v>416.28177777777802</v>
      </c>
      <c r="P6" s="344">
        <v>11510</v>
      </c>
    </row>
    <row r="7" spans="1:16" s="271" customFormat="1">
      <c r="A7" s="457"/>
      <c r="B7" s="270" t="s">
        <v>380</v>
      </c>
      <c r="C7" s="248">
        <v>11000</v>
      </c>
      <c r="D7" s="342">
        <v>1483.4298777777799</v>
      </c>
      <c r="E7" s="342">
        <v>283.07186666666701</v>
      </c>
      <c r="F7" s="342">
        <v>13502</v>
      </c>
      <c r="G7" s="286" t="s">
        <v>380</v>
      </c>
      <c r="H7" s="249">
        <v>11000</v>
      </c>
      <c r="I7" s="343">
        <v>1364.6949305555599</v>
      </c>
      <c r="J7" s="343">
        <v>445.04889444444399</v>
      </c>
      <c r="K7" s="343">
        <v>13502</v>
      </c>
      <c r="L7" s="280" t="s">
        <v>380</v>
      </c>
      <c r="M7" s="250">
        <v>11000</v>
      </c>
      <c r="N7" s="344">
        <v>1223.4707111111099</v>
      </c>
      <c r="O7" s="344">
        <v>618.12024166666697</v>
      </c>
      <c r="P7" s="344">
        <v>13505</v>
      </c>
    </row>
    <row r="8" spans="1:16" s="271" customFormat="1">
      <c r="A8" s="457"/>
      <c r="B8" s="270" t="s">
        <v>380</v>
      </c>
      <c r="C8" s="248">
        <v>13000</v>
      </c>
      <c r="D8" s="342">
        <v>1996.38048611111</v>
      </c>
      <c r="E8" s="342">
        <v>393.929708333333</v>
      </c>
      <c r="F8" s="342">
        <v>15490</v>
      </c>
      <c r="G8" s="286" t="s">
        <v>380</v>
      </c>
      <c r="H8" s="249">
        <v>13000</v>
      </c>
      <c r="I8" s="343">
        <v>1823.6245555555599</v>
      </c>
      <c r="J8" s="343">
        <v>623.34579722222202</v>
      </c>
      <c r="K8" s="343">
        <v>15489</v>
      </c>
      <c r="L8" s="280" t="s">
        <v>380</v>
      </c>
      <c r="M8" s="250">
        <v>13000</v>
      </c>
      <c r="N8" s="344">
        <v>1627.16844444444</v>
      </c>
      <c r="O8" s="344">
        <v>852.66994444444401</v>
      </c>
      <c r="P8" s="344">
        <v>15485</v>
      </c>
    </row>
    <row r="9" spans="1:16" s="271" customFormat="1">
      <c r="A9" s="457"/>
      <c r="B9" s="270" t="s">
        <v>380</v>
      </c>
      <c r="C9" s="248">
        <v>15000</v>
      </c>
      <c r="D9" s="342">
        <v>2639.2229305555602</v>
      </c>
      <c r="E9" s="342">
        <v>527.53099166666698</v>
      </c>
      <c r="F9" s="342">
        <v>17461</v>
      </c>
      <c r="G9" s="286" t="s">
        <v>380</v>
      </c>
      <c r="H9" s="249">
        <v>15000</v>
      </c>
      <c r="I9" s="343">
        <v>2453.441425</v>
      </c>
      <c r="J9" s="343">
        <v>857.14044722222195</v>
      </c>
      <c r="K9" s="343">
        <v>17460</v>
      </c>
      <c r="L9" s="280" t="s">
        <v>380</v>
      </c>
      <c r="M9" s="250">
        <v>15000</v>
      </c>
      <c r="N9" s="344">
        <v>2412.6810416666699</v>
      </c>
      <c r="O9" s="344">
        <v>1323.5848333333299</v>
      </c>
      <c r="P9" s="344">
        <v>17459</v>
      </c>
    </row>
    <row r="10" spans="1:16" s="271" customFormat="1">
      <c r="A10" s="457"/>
      <c r="B10" s="270" t="s">
        <v>380</v>
      </c>
      <c r="C10" s="248">
        <v>17000</v>
      </c>
      <c r="D10" s="342">
        <v>3511.8326944444402</v>
      </c>
      <c r="E10" s="342">
        <v>723.84566111111099</v>
      </c>
      <c r="F10" s="342">
        <v>19448</v>
      </c>
      <c r="G10" s="286" t="s">
        <v>380</v>
      </c>
      <c r="H10" s="249">
        <v>17000</v>
      </c>
      <c r="I10" s="343">
        <v>3917.1631805555598</v>
      </c>
      <c r="J10" s="343">
        <v>1456.76283888889</v>
      </c>
      <c r="K10" s="343">
        <v>19446</v>
      </c>
      <c r="L10" s="280" t="s">
        <v>380</v>
      </c>
      <c r="M10" s="250">
        <v>17000</v>
      </c>
      <c r="N10" s="344">
        <v>4281.7906277777802</v>
      </c>
      <c r="O10" s="344">
        <v>2503.8867944444401</v>
      </c>
      <c r="P10" s="344">
        <v>19447</v>
      </c>
    </row>
    <row r="11" spans="1:16" s="271" customFormat="1">
      <c r="A11" s="457"/>
      <c r="B11" s="270" t="s">
        <v>380</v>
      </c>
      <c r="C11" s="248">
        <v>19000</v>
      </c>
      <c r="D11" s="342">
        <v>5184.1390138888901</v>
      </c>
      <c r="E11" s="342">
        <v>1129.96881944444</v>
      </c>
      <c r="F11" s="342">
        <v>21441</v>
      </c>
      <c r="G11" s="286" t="s">
        <v>380</v>
      </c>
      <c r="H11" s="249">
        <v>19000</v>
      </c>
      <c r="I11" s="343">
        <v>7942.9913222222203</v>
      </c>
      <c r="J11" s="343">
        <v>3275.4522611111101</v>
      </c>
      <c r="K11" s="343">
        <v>21436</v>
      </c>
      <c r="L11" s="280" t="s">
        <v>380</v>
      </c>
      <c r="M11" s="250">
        <v>19000</v>
      </c>
      <c r="N11" s="344">
        <v>11780.846052777801</v>
      </c>
      <c r="O11" s="344">
        <v>7893.5726527777797</v>
      </c>
      <c r="P11" s="344">
        <v>21039</v>
      </c>
    </row>
    <row r="12" spans="1:16" s="273" customFormat="1" ht="14.55" hidden="1" customHeight="1">
      <c r="A12" s="458" t="s">
        <v>375</v>
      </c>
      <c r="B12" s="265" t="s">
        <v>381</v>
      </c>
      <c r="C12" s="261">
        <v>3000</v>
      </c>
      <c r="D12" s="345">
        <v>153.98602500000001</v>
      </c>
      <c r="E12" s="345">
        <v>25.957386111111099</v>
      </c>
      <c r="F12" s="345">
        <v>5552</v>
      </c>
      <c r="G12" s="287" t="s">
        <v>381</v>
      </c>
      <c r="H12" s="262">
        <v>3000</v>
      </c>
      <c r="I12" s="346">
        <v>146.27237500000001</v>
      </c>
      <c r="J12" s="346">
        <v>38.537838888888899</v>
      </c>
      <c r="K12" s="346">
        <v>5553</v>
      </c>
      <c r="L12" s="281" t="s">
        <v>381</v>
      </c>
      <c r="M12" s="263">
        <v>3000</v>
      </c>
      <c r="N12" s="347">
        <v>135.73714722222201</v>
      </c>
      <c r="O12" s="347">
        <v>51.242761111111101</v>
      </c>
      <c r="P12" s="347">
        <v>5553</v>
      </c>
    </row>
    <row r="13" spans="1:16" s="273" customFormat="1" ht="14.55" hidden="1" customHeight="1">
      <c r="A13" s="458"/>
      <c r="B13" s="272" t="s">
        <v>381</v>
      </c>
      <c r="C13" s="261">
        <v>5000</v>
      </c>
      <c r="D13" s="345">
        <v>377.16228055555598</v>
      </c>
      <c r="E13" s="345">
        <v>59.351291666666697</v>
      </c>
      <c r="F13" s="345">
        <v>7544</v>
      </c>
      <c r="G13" s="287" t="s">
        <v>381</v>
      </c>
      <c r="H13" s="262">
        <v>5000</v>
      </c>
      <c r="I13" s="346">
        <v>352.55443888888902</v>
      </c>
      <c r="J13" s="346">
        <v>93.580947222222207</v>
      </c>
      <c r="K13" s="346">
        <v>7541</v>
      </c>
      <c r="L13" s="281" t="s">
        <v>381</v>
      </c>
      <c r="M13" s="263">
        <v>5000</v>
      </c>
      <c r="N13" s="347">
        <v>320.11275555555602</v>
      </c>
      <c r="O13" s="347">
        <v>126.029022222222</v>
      </c>
      <c r="P13" s="347">
        <v>7541</v>
      </c>
    </row>
    <row r="14" spans="1:16" s="273" customFormat="1" ht="14.55" hidden="1" customHeight="1">
      <c r="A14" s="458"/>
      <c r="B14" s="272" t="s">
        <v>381</v>
      </c>
      <c r="C14" s="261">
        <v>7000</v>
      </c>
      <c r="D14" s="345">
        <v>674.80707777777798</v>
      </c>
      <c r="E14" s="345">
        <v>120.96234722222199</v>
      </c>
      <c r="F14" s="345">
        <v>9531</v>
      </c>
      <c r="G14" s="287" t="s">
        <v>381</v>
      </c>
      <c r="H14" s="262">
        <v>7000</v>
      </c>
      <c r="I14" s="346">
        <v>625.51075000000003</v>
      </c>
      <c r="J14" s="346">
        <v>188.74737500000001</v>
      </c>
      <c r="K14" s="346">
        <v>9530</v>
      </c>
      <c r="L14" s="281" t="s">
        <v>381</v>
      </c>
      <c r="M14" s="263">
        <v>7000</v>
      </c>
      <c r="N14" s="347">
        <v>564.48730833333298</v>
      </c>
      <c r="O14" s="347">
        <v>250.22761388888901</v>
      </c>
      <c r="P14" s="347">
        <v>9527</v>
      </c>
    </row>
    <row r="15" spans="1:16" s="273" customFormat="1" ht="14.55" hidden="1" customHeight="1">
      <c r="A15" s="458"/>
      <c r="B15" s="272" t="s">
        <v>381</v>
      </c>
      <c r="C15" s="261">
        <v>9000</v>
      </c>
      <c r="D15" s="345">
        <v>1034.75187777778</v>
      </c>
      <c r="E15" s="345">
        <v>201.079322222222</v>
      </c>
      <c r="F15" s="345">
        <v>11510</v>
      </c>
      <c r="G15" s="287" t="s">
        <v>381</v>
      </c>
      <c r="H15" s="262">
        <v>9000</v>
      </c>
      <c r="I15" s="346">
        <v>947.45493611111101</v>
      </c>
      <c r="J15" s="346">
        <v>306.95890277777801</v>
      </c>
      <c r="K15" s="346">
        <v>11510</v>
      </c>
      <c r="L15" s="281" t="s">
        <v>381</v>
      </c>
      <c r="M15" s="263">
        <v>9000</v>
      </c>
      <c r="N15" s="347">
        <v>853.88323611111105</v>
      </c>
      <c r="O15" s="347">
        <v>409.84505555555597</v>
      </c>
      <c r="P15" s="347">
        <v>11510</v>
      </c>
    </row>
    <row r="16" spans="1:16" s="273" customFormat="1" hidden="1">
      <c r="A16" s="458"/>
      <c r="B16" s="272" t="s">
        <v>381</v>
      </c>
      <c r="C16" s="261">
        <v>11000</v>
      </c>
      <c r="D16" s="345">
        <v>1474.09146944444</v>
      </c>
      <c r="E16" s="345">
        <v>281.26864166666701</v>
      </c>
      <c r="F16" s="345">
        <v>13502</v>
      </c>
      <c r="G16" s="287" t="s">
        <v>381</v>
      </c>
      <c r="H16" s="262">
        <v>11000</v>
      </c>
      <c r="I16" s="346">
        <v>1347.9904777777799</v>
      </c>
      <c r="J16" s="346">
        <v>438.98929166666699</v>
      </c>
      <c r="K16" s="346">
        <v>13502</v>
      </c>
      <c r="L16" s="281" t="s">
        <v>381</v>
      </c>
      <c r="M16" s="263">
        <v>11000</v>
      </c>
      <c r="N16" s="347">
        <v>1190.0258861111099</v>
      </c>
      <c r="O16" s="347">
        <v>598.07136944444403</v>
      </c>
      <c r="P16" s="347">
        <v>13505</v>
      </c>
    </row>
    <row r="17" spans="1:16" s="273" customFormat="1" hidden="1">
      <c r="A17" s="458"/>
      <c r="B17" s="272" t="s">
        <v>381</v>
      </c>
      <c r="C17" s="261">
        <v>13000</v>
      </c>
      <c r="D17" s="345">
        <v>1965.3012000000001</v>
      </c>
      <c r="E17" s="345">
        <v>388.65043611111099</v>
      </c>
      <c r="F17" s="345">
        <v>15491</v>
      </c>
      <c r="G17" s="287" t="s">
        <v>381</v>
      </c>
      <c r="H17" s="262">
        <v>13000</v>
      </c>
      <c r="I17" s="346">
        <v>1779.79585833333</v>
      </c>
      <c r="J17" s="346">
        <v>607.33776666666699</v>
      </c>
      <c r="K17" s="346">
        <v>15488</v>
      </c>
      <c r="L17" s="281" t="s">
        <v>381</v>
      </c>
      <c r="M17" s="263">
        <v>13000</v>
      </c>
      <c r="N17" s="347">
        <v>1577.78691388889</v>
      </c>
      <c r="O17" s="347">
        <v>822.53160000000003</v>
      </c>
      <c r="P17" s="347">
        <v>15484</v>
      </c>
    </row>
    <row r="18" spans="1:16" s="273" customFormat="1" hidden="1">
      <c r="A18" s="458"/>
      <c r="B18" s="272" t="s">
        <v>381</v>
      </c>
      <c r="C18" s="261">
        <v>15000</v>
      </c>
      <c r="D18" s="345">
        <v>2528.82328333333</v>
      </c>
      <c r="E18" s="345">
        <v>501.14200833333302</v>
      </c>
      <c r="F18" s="345">
        <v>17460</v>
      </c>
      <c r="G18" s="287" t="s">
        <v>381</v>
      </c>
      <c r="H18" s="262">
        <v>15000</v>
      </c>
      <c r="I18" s="346">
        <v>2288.8722944444398</v>
      </c>
      <c r="J18" s="346">
        <v>787.20999444444396</v>
      </c>
      <c r="K18" s="346">
        <v>17460</v>
      </c>
      <c r="L18" s="281" t="s">
        <v>381</v>
      </c>
      <c r="M18" s="263">
        <v>15000</v>
      </c>
      <c r="N18" s="347">
        <v>2023.9846027777801</v>
      </c>
      <c r="O18" s="347">
        <v>1066.8283388888899</v>
      </c>
      <c r="P18" s="347">
        <v>17458</v>
      </c>
    </row>
    <row r="19" spans="1:16" s="273" customFormat="1" hidden="1">
      <c r="A19" s="458"/>
      <c r="B19" s="272" t="s">
        <v>381</v>
      </c>
      <c r="C19" s="261">
        <v>17000</v>
      </c>
      <c r="D19" s="345">
        <v>3138.9060666666701</v>
      </c>
      <c r="E19" s="345">
        <v>627.97154444444402</v>
      </c>
      <c r="F19" s="345">
        <v>19448</v>
      </c>
      <c r="G19" s="287" t="s">
        <v>381</v>
      </c>
      <c r="H19" s="262">
        <v>17000</v>
      </c>
      <c r="I19" s="346">
        <v>2841.5778388888898</v>
      </c>
      <c r="J19" s="346">
        <v>989.91452222222199</v>
      </c>
      <c r="K19" s="346">
        <v>19446</v>
      </c>
      <c r="L19" s="281" t="s">
        <v>381</v>
      </c>
      <c r="M19" s="263">
        <v>17000</v>
      </c>
      <c r="N19" s="347">
        <v>2515.9468333333298</v>
      </c>
      <c r="O19" s="347">
        <v>1341.3654833333301</v>
      </c>
      <c r="P19" s="347">
        <v>19446</v>
      </c>
    </row>
    <row r="20" spans="1:16" s="273" customFormat="1" hidden="1">
      <c r="A20" s="458"/>
      <c r="B20" s="272" t="s">
        <v>381</v>
      </c>
      <c r="C20" s="261">
        <v>19000</v>
      </c>
      <c r="D20" s="345">
        <v>3816.7267527777799</v>
      </c>
      <c r="E20" s="345">
        <v>767.63204166666696</v>
      </c>
      <c r="F20" s="345">
        <v>21438</v>
      </c>
      <c r="G20" s="287" t="s">
        <v>381</v>
      </c>
      <c r="H20" s="262">
        <v>19000</v>
      </c>
      <c r="I20" s="346">
        <v>3463.6125888888901</v>
      </c>
      <c r="J20" s="346">
        <v>1210.8763916666701</v>
      </c>
      <c r="K20" s="346">
        <v>21435</v>
      </c>
      <c r="L20" s="281" t="s">
        <v>381</v>
      </c>
      <c r="M20" s="263">
        <v>19000</v>
      </c>
      <c r="N20" s="347">
        <v>3060.7447305555602</v>
      </c>
      <c r="O20" s="347">
        <v>1652.2477305555601</v>
      </c>
      <c r="P20" s="347">
        <v>21434</v>
      </c>
    </row>
    <row r="21" spans="1:16" s="275" customFormat="1" ht="14.55" customHeight="1">
      <c r="A21" s="454" t="s">
        <v>363</v>
      </c>
      <c r="B21" s="274" t="s">
        <v>367</v>
      </c>
      <c r="C21" s="251">
        <v>3000</v>
      </c>
      <c r="D21" s="348">
        <v>86.826625000000007</v>
      </c>
      <c r="E21" s="348">
        <v>15.8267611111111</v>
      </c>
      <c r="F21" s="348">
        <v>5553</v>
      </c>
      <c r="G21" s="288" t="s">
        <v>367</v>
      </c>
      <c r="H21" s="252">
        <v>3000</v>
      </c>
      <c r="I21" s="349">
        <v>82.274877777777803</v>
      </c>
      <c r="J21" s="349">
        <v>23.257480555555599</v>
      </c>
      <c r="K21" s="349">
        <v>5553</v>
      </c>
      <c r="L21" s="282" t="s">
        <v>367</v>
      </c>
      <c r="M21" s="253">
        <v>3000</v>
      </c>
      <c r="N21" s="350">
        <v>77.036299999999997</v>
      </c>
      <c r="O21" s="350">
        <v>31.2879055555556</v>
      </c>
      <c r="P21" s="350">
        <v>5553</v>
      </c>
    </row>
    <row r="22" spans="1:16" s="275" customFormat="1" ht="14.55" customHeight="1">
      <c r="A22" s="454"/>
      <c r="B22" s="274" t="s">
        <v>367</v>
      </c>
      <c r="C22" s="251">
        <v>5000</v>
      </c>
      <c r="D22" s="348">
        <v>200.65375555555599</v>
      </c>
      <c r="E22" s="348">
        <v>30.9050861111111</v>
      </c>
      <c r="F22" s="348">
        <v>7545</v>
      </c>
      <c r="G22" s="288" t="s">
        <v>367</v>
      </c>
      <c r="H22" s="252">
        <v>5000</v>
      </c>
      <c r="I22" s="349">
        <v>191.82233888888899</v>
      </c>
      <c r="J22" s="349">
        <v>48.870061111111099</v>
      </c>
      <c r="K22" s="349">
        <v>7543</v>
      </c>
      <c r="L22" s="282" t="s">
        <v>367</v>
      </c>
      <c r="M22" s="253">
        <v>5000</v>
      </c>
      <c r="N22" s="350">
        <v>178.012133333333</v>
      </c>
      <c r="O22" s="350">
        <v>66.855886111111104</v>
      </c>
      <c r="P22" s="350">
        <v>7542</v>
      </c>
    </row>
    <row r="23" spans="1:16" s="275" customFormat="1" ht="14.55" customHeight="1">
      <c r="A23" s="454"/>
      <c r="B23" s="274" t="s">
        <v>367</v>
      </c>
      <c r="C23" s="251">
        <v>7000</v>
      </c>
      <c r="D23" s="348">
        <v>379.92389166666698</v>
      </c>
      <c r="E23" s="348">
        <v>63.625597222222197</v>
      </c>
      <c r="F23" s="348">
        <v>9530</v>
      </c>
      <c r="G23" s="288" t="s">
        <v>367</v>
      </c>
      <c r="H23" s="252">
        <v>7000</v>
      </c>
      <c r="I23" s="349">
        <v>363.355019444444</v>
      </c>
      <c r="J23" s="349">
        <v>104.54501944444399</v>
      </c>
      <c r="K23" s="349">
        <v>9530</v>
      </c>
      <c r="L23" s="282" t="s">
        <v>367</v>
      </c>
      <c r="M23" s="253">
        <v>7000</v>
      </c>
      <c r="N23" s="350">
        <v>336.414472222222</v>
      </c>
      <c r="O23" s="350">
        <v>144.14150555555599</v>
      </c>
      <c r="P23" s="350">
        <v>9528</v>
      </c>
    </row>
    <row r="24" spans="1:16" s="275" customFormat="1" ht="14.55" customHeight="1">
      <c r="A24" s="454"/>
      <c r="B24" s="274" t="s">
        <v>367</v>
      </c>
      <c r="C24" s="251">
        <v>9000</v>
      </c>
      <c r="D24" s="348">
        <v>631.17136944444496</v>
      </c>
      <c r="E24" s="348">
        <v>114.930705555556</v>
      </c>
      <c r="F24" s="348">
        <v>11505</v>
      </c>
      <c r="G24" s="288" t="s">
        <v>367</v>
      </c>
      <c r="H24" s="252">
        <v>9000</v>
      </c>
      <c r="I24" s="349">
        <v>593.92281666666702</v>
      </c>
      <c r="J24" s="349">
        <v>183.69200000000001</v>
      </c>
      <c r="K24" s="349">
        <v>11505</v>
      </c>
      <c r="L24" s="282" t="s">
        <v>367</v>
      </c>
      <c r="M24" s="253">
        <v>9000</v>
      </c>
      <c r="N24" s="350">
        <v>542.52782500000001</v>
      </c>
      <c r="O24" s="350">
        <v>253.48567777777799</v>
      </c>
      <c r="P24" s="350">
        <v>11505</v>
      </c>
    </row>
    <row r="25" spans="1:16" s="275" customFormat="1">
      <c r="A25" s="454"/>
      <c r="B25" s="274" t="s">
        <v>367</v>
      </c>
      <c r="C25" s="251">
        <v>11000</v>
      </c>
      <c r="D25" s="348">
        <v>955.628958333333</v>
      </c>
      <c r="E25" s="348">
        <v>178.36814166666699</v>
      </c>
      <c r="F25" s="348">
        <v>13508</v>
      </c>
      <c r="G25" s="288" t="s">
        <v>367</v>
      </c>
      <c r="H25" s="252">
        <v>11000</v>
      </c>
      <c r="I25" s="349">
        <v>890.50812222222203</v>
      </c>
      <c r="J25" s="349">
        <v>286.09764722222201</v>
      </c>
      <c r="K25" s="349">
        <v>13508</v>
      </c>
      <c r="L25" s="282" t="s">
        <v>367</v>
      </c>
      <c r="M25" s="253">
        <v>11000</v>
      </c>
      <c r="N25" s="350">
        <v>808.49156666666704</v>
      </c>
      <c r="O25" s="350">
        <v>402.19061666666698</v>
      </c>
      <c r="P25" s="350">
        <v>13504</v>
      </c>
    </row>
    <row r="26" spans="1:16" s="275" customFormat="1">
      <c r="A26" s="454"/>
      <c r="B26" s="274" t="s">
        <v>367</v>
      </c>
      <c r="C26" s="251">
        <v>13000</v>
      </c>
      <c r="D26" s="348">
        <v>1340.065975</v>
      </c>
      <c r="E26" s="348">
        <v>264.03059166666702</v>
      </c>
      <c r="F26" s="348">
        <v>15496</v>
      </c>
      <c r="G26" s="288" t="s">
        <v>367</v>
      </c>
      <c r="H26" s="252">
        <v>13000</v>
      </c>
      <c r="I26" s="349">
        <v>1238.3719000000001</v>
      </c>
      <c r="J26" s="349">
        <v>422.830058333333</v>
      </c>
      <c r="K26" s="349">
        <v>15495</v>
      </c>
      <c r="L26" s="282" t="s">
        <v>367</v>
      </c>
      <c r="M26" s="253">
        <v>13000</v>
      </c>
      <c r="N26" s="350">
        <v>1125.60811111111</v>
      </c>
      <c r="O26" s="350">
        <v>587.17607499999997</v>
      </c>
      <c r="P26" s="350">
        <v>15495</v>
      </c>
    </row>
    <row r="27" spans="1:16" s="275" customFormat="1">
      <c r="A27" s="454"/>
      <c r="B27" s="274" t="s">
        <v>367</v>
      </c>
      <c r="C27" s="251">
        <v>15000</v>
      </c>
      <c r="D27" s="348">
        <v>1809.05615277778</v>
      </c>
      <c r="E27" s="348">
        <v>361.44286111111097</v>
      </c>
      <c r="F27" s="348">
        <v>17475</v>
      </c>
      <c r="G27" s="288" t="s">
        <v>367</v>
      </c>
      <c r="H27" s="252">
        <v>15000</v>
      </c>
      <c r="I27" s="349">
        <v>1680.5174222222199</v>
      </c>
      <c r="J27" s="349">
        <v>588.06675277777799</v>
      </c>
      <c r="K27" s="349">
        <v>17476</v>
      </c>
      <c r="L27" s="282" t="s">
        <v>367</v>
      </c>
      <c r="M27" s="253">
        <v>15000</v>
      </c>
      <c r="N27" s="350">
        <v>1574.6371138888901</v>
      </c>
      <c r="O27" s="350">
        <v>860.51550555555502</v>
      </c>
      <c r="P27" s="350">
        <v>17475</v>
      </c>
    </row>
    <row r="28" spans="1:16" s="275" customFormat="1">
      <c r="A28" s="454"/>
      <c r="B28" s="274" t="s">
        <v>367</v>
      </c>
      <c r="C28" s="251">
        <v>17000</v>
      </c>
      <c r="D28" s="348">
        <v>2360.4565333333298</v>
      </c>
      <c r="E28" s="348">
        <v>487.30574722222201</v>
      </c>
      <c r="F28" s="348">
        <v>19462</v>
      </c>
      <c r="G28" s="288" t="s">
        <v>367</v>
      </c>
      <c r="H28" s="252">
        <v>17000</v>
      </c>
      <c r="I28" s="349">
        <v>2343.11938333333</v>
      </c>
      <c r="J28" s="349">
        <v>869.953422222222</v>
      </c>
      <c r="K28" s="349">
        <v>19463</v>
      </c>
      <c r="L28" s="282" t="s">
        <v>367</v>
      </c>
      <c r="M28" s="253">
        <v>17000</v>
      </c>
      <c r="N28" s="350">
        <v>2423.0844805555598</v>
      </c>
      <c r="O28" s="350">
        <v>1454.1309833333301</v>
      </c>
      <c r="P28" s="350">
        <v>19462</v>
      </c>
    </row>
    <row r="29" spans="1:16" s="275" customFormat="1">
      <c r="A29" s="454"/>
      <c r="B29" s="274" t="s">
        <v>367</v>
      </c>
      <c r="C29" s="251">
        <v>19000</v>
      </c>
      <c r="D29" s="348">
        <v>3115.8937416666699</v>
      </c>
      <c r="E29" s="348">
        <v>669.133672222222</v>
      </c>
      <c r="F29" s="348">
        <v>21455</v>
      </c>
      <c r="G29" s="288" t="s">
        <v>367</v>
      </c>
      <c r="H29" s="252">
        <v>19000</v>
      </c>
      <c r="I29" s="349">
        <v>3769.6797361111098</v>
      </c>
      <c r="J29" s="349">
        <v>1583.9647444444399</v>
      </c>
      <c r="K29" s="349">
        <v>21457</v>
      </c>
      <c r="L29" s="282" t="s">
        <v>367</v>
      </c>
      <c r="M29" s="253">
        <v>19000</v>
      </c>
      <c r="N29" s="350">
        <v>6546.5493777777801</v>
      </c>
      <c r="O29" s="350">
        <v>4977.2671027777797</v>
      </c>
      <c r="P29" s="350">
        <v>21454</v>
      </c>
    </row>
    <row r="30" spans="1:16" s="277" customFormat="1" ht="14.55" customHeight="1">
      <c r="A30" s="455" t="s">
        <v>364</v>
      </c>
      <c r="B30" s="276" t="s">
        <v>369</v>
      </c>
      <c r="C30" s="254">
        <v>3000</v>
      </c>
      <c r="D30" s="351">
        <v>50.859913888888897</v>
      </c>
      <c r="E30" s="351">
        <v>11.1281388888889</v>
      </c>
      <c r="F30" s="351">
        <v>5553</v>
      </c>
      <c r="G30" s="289" t="s">
        <v>369</v>
      </c>
      <c r="H30" s="255">
        <v>3000</v>
      </c>
      <c r="I30" s="352">
        <v>47.933258333333299</v>
      </c>
      <c r="J30" s="352">
        <v>16.521413888888901</v>
      </c>
      <c r="K30" s="352">
        <v>5553</v>
      </c>
      <c r="L30" s="283" t="s">
        <v>369</v>
      </c>
      <c r="M30" s="256">
        <v>3000</v>
      </c>
      <c r="N30" s="353">
        <v>44.400480555555603</v>
      </c>
      <c r="O30" s="353">
        <v>22.1381972222222</v>
      </c>
      <c r="P30" s="353">
        <v>5553</v>
      </c>
    </row>
    <row r="31" spans="1:16" s="277" customFormat="1" ht="14.55" customHeight="1">
      <c r="A31" s="455"/>
      <c r="B31" s="276" t="s">
        <v>369</v>
      </c>
      <c r="C31" s="254">
        <v>5000</v>
      </c>
      <c r="D31" s="351">
        <v>111.266727777778</v>
      </c>
      <c r="E31" s="351">
        <v>17.3453805555556</v>
      </c>
      <c r="F31" s="351">
        <v>7545</v>
      </c>
      <c r="G31" s="289" t="s">
        <v>369</v>
      </c>
      <c r="H31" s="255">
        <v>5000</v>
      </c>
      <c r="I31" s="352">
        <v>106.04666666666699</v>
      </c>
      <c r="J31" s="352">
        <v>29.1597166666667</v>
      </c>
      <c r="K31" s="352">
        <v>7543</v>
      </c>
      <c r="L31" s="283" t="s">
        <v>369</v>
      </c>
      <c r="M31" s="256">
        <v>5000</v>
      </c>
      <c r="N31" s="353">
        <v>98.536716666666706</v>
      </c>
      <c r="O31" s="353">
        <v>39.728700000000003</v>
      </c>
      <c r="P31" s="353">
        <v>7542</v>
      </c>
    </row>
    <row r="32" spans="1:16" s="277" customFormat="1" ht="14.55" customHeight="1">
      <c r="A32" s="455"/>
      <c r="B32" s="276" t="s">
        <v>369</v>
      </c>
      <c r="C32" s="254">
        <v>7000</v>
      </c>
      <c r="D32" s="351">
        <v>201.89670000000001</v>
      </c>
      <c r="E32" s="351">
        <v>31.153411111111101</v>
      </c>
      <c r="F32" s="351">
        <v>9531</v>
      </c>
      <c r="G32" s="289" t="s">
        <v>369</v>
      </c>
      <c r="H32" s="255">
        <v>7000</v>
      </c>
      <c r="I32" s="352">
        <v>195.63770555555601</v>
      </c>
      <c r="J32" s="352">
        <v>51.554494444444401</v>
      </c>
      <c r="K32" s="352">
        <v>9530</v>
      </c>
      <c r="L32" s="283" t="s">
        <v>369</v>
      </c>
      <c r="M32" s="256">
        <v>7000</v>
      </c>
      <c r="N32" s="353">
        <v>182.89956111111101</v>
      </c>
      <c r="O32" s="353">
        <v>73.202516666666696</v>
      </c>
      <c r="P32" s="353">
        <v>9529</v>
      </c>
    </row>
    <row r="33" spans="1:16" s="277" customFormat="1" ht="14.55" customHeight="1">
      <c r="A33" s="455"/>
      <c r="B33" s="276" t="s">
        <v>369</v>
      </c>
      <c r="C33" s="254">
        <v>9000</v>
      </c>
      <c r="D33" s="351">
        <v>344.912277777778</v>
      </c>
      <c r="E33" s="351">
        <v>58.724166666666697</v>
      </c>
      <c r="F33" s="351">
        <v>11508</v>
      </c>
      <c r="G33" s="289" t="s">
        <v>369</v>
      </c>
      <c r="H33" s="255">
        <v>9000</v>
      </c>
      <c r="I33" s="352">
        <v>329.42051666666703</v>
      </c>
      <c r="J33" s="352">
        <v>94.494786111111097</v>
      </c>
      <c r="K33" s="352">
        <v>11509</v>
      </c>
      <c r="L33" s="283" t="s">
        <v>369</v>
      </c>
      <c r="M33" s="256">
        <v>9000</v>
      </c>
      <c r="N33" s="353">
        <v>306.79880555555599</v>
      </c>
      <c r="O33" s="353">
        <v>130.91657222222199</v>
      </c>
      <c r="P33" s="353">
        <v>11507</v>
      </c>
    </row>
    <row r="34" spans="1:16" s="277" customFormat="1">
      <c r="A34" s="455"/>
      <c r="B34" s="276" t="s">
        <v>369</v>
      </c>
      <c r="C34" s="254">
        <v>11000</v>
      </c>
      <c r="D34" s="351">
        <v>522.80418611111099</v>
      </c>
      <c r="E34" s="351">
        <v>90.604938888888896</v>
      </c>
      <c r="F34" s="351">
        <v>13511</v>
      </c>
      <c r="G34" s="289" t="s">
        <v>369</v>
      </c>
      <c r="H34" s="255">
        <v>11000</v>
      </c>
      <c r="I34" s="352">
        <v>506.06418611111098</v>
      </c>
      <c r="J34" s="352">
        <v>150.20971666666699</v>
      </c>
      <c r="K34" s="352">
        <v>13510</v>
      </c>
      <c r="L34" s="283" t="s">
        <v>369</v>
      </c>
      <c r="M34" s="256">
        <v>11000</v>
      </c>
      <c r="N34" s="353">
        <v>474.40002500000003</v>
      </c>
      <c r="O34" s="353">
        <v>218.634130555556</v>
      </c>
      <c r="P34" s="353">
        <v>13509</v>
      </c>
    </row>
    <row r="35" spans="1:16" s="277" customFormat="1">
      <c r="A35" s="455"/>
      <c r="B35" s="276" t="s">
        <v>369</v>
      </c>
      <c r="C35" s="254">
        <v>13000</v>
      </c>
      <c r="D35" s="351">
        <v>765.51818333333301</v>
      </c>
      <c r="E35" s="351">
        <v>141.31549166666699</v>
      </c>
      <c r="F35" s="351">
        <v>15502</v>
      </c>
      <c r="G35" s="289" t="s">
        <v>369</v>
      </c>
      <c r="H35" s="255">
        <v>13000</v>
      </c>
      <c r="I35" s="352">
        <v>739.24906666666698</v>
      </c>
      <c r="J35" s="352">
        <v>237.77939444444399</v>
      </c>
      <c r="K35" s="352">
        <v>15500</v>
      </c>
      <c r="L35" s="283" t="s">
        <v>369</v>
      </c>
      <c r="M35" s="256">
        <v>13000</v>
      </c>
      <c r="N35" s="353">
        <v>691.12739722222204</v>
      </c>
      <c r="O35" s="353">
        <v>343.12079444444402</v>
      </c>
      <c r="P35" s="353">
        <v>15500</v>
      </c>
    </row>
    <row r="36" spans="1:16" s="277" customFormat="1">
      <c r="A36" s="455"/>
      <c r="B36" s="276" t="s">
        <v>369</v>
      </c>
      <c r="C36" s="254">
        <v>15000</v>
      </c>
      <c r="D36" s="351">
        <v>1085.8942888888901</v>
      </c>
      <c r="E36" s="351">
        <v>208.826902777778</v>
      </c>
      <c r="F36" s="351">
        <v>17483</v>
      </c>
      <c r="G36" s="289" t="s">
        <v>369</v>
      </c>
      <c r="H36" s="255">
        <v>15000</v>
      </c>
      <c r="I36" s="352">
        <v>1055.0305499999999</v>
      </c>
      <c r="J36" s="352">
        <v>359.26215555555598</v>
      </c>
      <c r="K36" s="352">
        <v>17484</v>
      </c>
      <c r="L36" s="283" t="s">
        <v>369</v>
      </c>
      <c r="M36" s="256">
        <v>15000</v>
      </c>
      <c r="N36" s="353">
        <v>1017.6970638888901</v>
      </c>
      <c r="O36" s="353">
        <v>540.15597777777805</v>
      </c>
      <c r="P36" s="353">
        <v>17483</v>
      </c>
    </row>
    <row r="37" spans="1:16" s="277" customFormat="1">
      <c r="A37" s="455"/>
      <c r="B37" s="276" t="s">
        <v>369</v>
      </c>
      <c r="C37" s="254">
        <v>17000</v>
      </c>
      <c r="D37" s="351">
        <v>1509.27474166667</v>
      </c>
      <c r="E37" s="351">
        <v>305.44384444444398</v>
      </c>
      <c r="F37" s="351">
        <v>19468</v>
      </c>
      <c r="G37" s="289" t="s">
        <v>369</v>
      </c>
      <c r="H37" s="255">
        <v>17000</v>
      </c>
      <c r="I37" s="352">
        <v>1534.58642777778</v>
      </c>
      <c r="J37" s="352">
        <v>557.79687777777804</v>
      </c>
      <c r="K37" s="352">
        <v>19468</v>
      </c>
      <c r="L37" s="283" t="s">
        <v>369</v>
      </c>
      <c r="M37" s="256">
        <v>17000</v>
      </c>
      <c r="N37" s="353">
        <v>1700.01894722222</v>
      </c>
      <c r="O37" s="353">
        <v>1013.42275833333</v>
      </c>
      <c r="P37" s="353">
        <v>19467</v>
      </c>
    </row>
    <row r="38" spans="1:16" s="277" customFormat="1">
      <c r="A38" s="455"/>
      <c r="B38" s="276" t="s">
        <v>369</v>
      </c>
      <c r="C38" s="254">
        <v>19000</v>
      </c>
      <c r="D38" s="351">
        <v>2106.4017305555599</v>
      </c>
      <c r="E38" s="351">
        <v>450.30421111111099</v>
      </c>
      <c r="F38" s="351">
        <v>21464</v>
      </c>
      <c r="G38" s="289" t="s">
        <v>369</v>
      </c>
      <c r="H38" s="255">
        <v>19000</v>
      </c>
      <c r="I38" s="352">
        <v>2865.3953166666702</v>
      </c>
      <c r="J38" s="352">
        <v>1218.6924694444399</v>
      </c>
      <c r="K38" s="352">
        <v>21464</v>
      </c>
      <c r="L38" s="283" t="s">
        <v>369</v>
      </c>
      <c r="M38" s="256">
        <v>19000</v>
      </c>
      <c r="N38" s="353">
        <v>5784.4666111111101</v>
      </c>
      <c r="O38" s="353">
        <v>4442.8221444444398</v>
      </c>
      <c r="P38" s="353">
        <v>21462</v>
      </c>
    </row>
    <row r="39" spans="1:16" s="275" customFormat="1" ht="14.55" customHeight="1">
      <c r="A39" s="454" t="s">
        <v>365</v>
      </c>
      <c r="B39" s="274" t="s">
        <v>368</v>
      </c>
      <c r="C39" s="251">
        <v>3000</v>
      </c>
      <c r="D39" s="348">
        <v>76.314747222222195</v>
      </c>
      <c r="E39" s="348">
        <v>14.065005555555601</v>
      </c>
      <c r="F39" s="348">
        <v>5553</v>
      </c>
      <c r="G39" s="288" t="s">
        <v>368</v>
      </c>
      <c r="H39" s="252">
        <v>3000</v>
      </c>
      <c r="I39" s="349">
        <v>72.598194444444403</v>
      </c>
      <c r="J39" s="349">
        <v>20.582155555555602</v>
      </c>
      <c r="K39" s="349">
        <v>5553</v>
      </c>
      <c r="L39" s="282" t="s">
        <v>368</v>
      </c>
      <c r="M39" s="253">
        <v>3000</v>
      </c>
      <c r="N39" s="350">
        <v>67.993580555555596</v>
      </c>
      <c r="O39" s="350">
        <v>28.042825000000001</v>
      </c>
      <c r="P39" s="350">
        <v>5553</v>
      </c>
    </row>
    <row r="40" spans="1:16" s="275" customFormat="1" ht="14.55" customHeight="1">
      <c r="A40" s="454"/>
      <c r="B40" s="274" t="s">
        <v>368</v>
      </c>
      <c r="C40" s="251">
        <v>5000</v>
      </c>
      <c r="D40" s="348">
        <v>172.53491666666699</v>
      </c>
      <c r="E40" s="348">
        <v>25.5314805555556</v>
      </c>
      <c r="F40" s="348">
        <v>7545</v>
      </c>
      <c r="G40" s="288" t="s">
        <v>368</v>
      </c>
      <c r="H40" s="252">
        <v>5000</v>
      </c>
      <c r="I40" s="349">
        <v>163.74261111111099</v>
      </c>
      <c r="J40" s="349">
        <v>39.809533333333299</v>
      </c>
      <c r="K40" s="349">
        <v>7543</v>
      </c>
      <c r="L40" s="282" t="s">
        <v>368</v>
      </c>
      <c r="M40" s="253">
        <v>5000</v>
      </c>
      <c r="N40" s="350">
        <v>151.05807222222199</v>
      </c>
      <c r="O40" s="350">
        <v>55.647066666666703</v>
      </c>
      <c r="P40" s="350">
        <v>7542</v>
      </c>
    </row>
    <row r="41" spans="1:16" s="275" customFormat="1" ht="14.55" customHeight="1">
      <c r="A41" s="454"/>
      <c r="B41" s="274" t="s">
        <v>368</v>
      </c>
      <c r="C41" s="251">
        <v>7000</v>
      </c>
      <c r="D41" s="348">
        <v>318.40889722222198</v>
      </c>
      <c r="E41" s="348">
        <v>48.715902777777799</v>
      </c>
      <c r="F41" s="348">
        <v>9530</v>
      </c>
      <c r="G41" s="288" t="s">
        <v>368</v>
      </c>
      <c r="H41" s="252">
        <v>7000</v>
      </c>
      <c r="I41" s="349">
        <v>302.202225</v>
      </c>
      <c r="J41" s="349">
        <v>79.830380555555493</v>
      </c>
      <c r="K41" s="349">
        <v>9530</v>
      </c>
      <c r="L41" s="282" t="s">
        <v>368</v>
      </c>
      <c r="M41" s="253">
        <v>7000</v>
      </c>
      <c r="N41" s="350">
        <v>277.05640277777798</v>
      </c>
      <c r="O41" s="350">
        <v>109.68788888888901</v>
      </c>
      <c r="P41" s="350">
        <v>9528</v>
      </c>
    </row>
    <row r="42" spans="1:16" s="275" customFormat="1" ht="14.55" customHeight="1">
      <c r="A42" s="454"/>
      <c r="B42" s="274" t="s">
        <v>368</v>
      </c>
      <c r="C42" s="251">
        <v>9000</v>
      </c>
      <c r="D42" s="348">
        <v>514.006952777778</v>
      </c>
      <c r="E42" s="348">
        <v>86.661655555555598</v>
      </c>
      <c r="F42" s="348">
        <v>11507</v>
      </c>
      <c r="G42" s="288" t="s">
        <v>368</v>
      </c>
      <c r="H42" s="252">
        <v>9000</v>
      </c>
      <c r="I42" s="349">
        <v>480.23924444444401</v>
      </c>
      <c r="J42" s="349">
        <v>136.278308333333</v>
      </c>
      <c r="K42" s="349">
        <v>11507</v>
      </c>
      <c r="L42" s="282" t="s">
        <v>368</v>
      </c>
      <c r="M42" s="253">
        <v>9000</v>
      </c>
      <c r="N42" s="350">
        <v>447.51969722222202</v>
      </c>
      <c r="O42" s="350">
        <v>193.054791666667</v>
      </c>
      <c r="P42" s="350">
        <v>11506</v>
      </c>
    </row>
    <row r="43" spans="1:16" s="275" customFormat="1">
      <c r="A43" s="454"/>
      <c r="B43" s="274" t="s">
        <v>368</v>
      </c>
      <c r="C43" s="251">
        <v>11000</v>
      </c>
      <c r="D43" s="348">
        <v>780.32662500000004</v>
      </c>
      <c r="E43" s="348">
        <v>137.604105555556</v>
      </c>
      <c r="F43" s="348">
        <v>13508</v>
      </c>
      <c r="G43" s="288" t="s">
        <v>368</v>
      </c>
      <c r="H43" s="252">
        <v>11000</v>
      </c>
      <c r="I43" s="349">
        <v>726.17328333333296</v>
      </c>
      <c r="J43" s="349">
        <v>218.982405555556</v>
      </c>
      <c r="K43" s="349">
        <v>13507</v>
      </c>
      <c r="L43" s="282" t="s">
        <v>368</v>
      </c>
      <c r="M43" s="253">
        <v>11000</v>
      </c>
      <c r="N43" s="350">
        <v>666.49417222222201</v>
      </c>
      <c r="O43" s="350">
        <v>314.20857222222202</v>
      </c>
      <c r="P43" s="350">
        <v>13505</v>
      </c>
    </row>
    <row r="44" spans="1:16" s="275" customFormat="1">
      <c r="A44" s="454"/>
      <c r="B44" s="274" t="s">
        <v>368</v>
      </c>
      <c r="C44" s="251">
        <v>13000</v>
      </c>
      <c r="D44" s="348">
        <v>1096.79696111111</v>
      </c>
      <c r="E44" s="348">
        <v>204.712822222222</v>
      </c>
      <c r="F44" s="348">
        <v>15499</v>
      </c>
      <c r="G44" s="288" t="s">
        <v>368</v>
      </c>
      <c r="H44" s="252">
        <v>13000</v>
      </c>
      <c r="I44" s="349">
        <v>1043.31668055556</v>
      </c>
      <c r="J44" s="349">
        <v>338.621527777778</v>
      </c>
      <c r="K44" s="349">
        <v>15497</v>
      </c>
      <c r="L44" s="282" t="s">
        <v>368</v>
      </c>
      <c r="M44" s="253">
        <v>13000</v>
      </c>
      <c r="N44" s="350">
        <v>937.659308333333</v>
      </c>
      <c r="O44" s="350">
        <v>469.33776111111098</v>
      </c>
      <c r="P44" s="350">
        <v>15497</v>
      </c>
    </row>
    <row r="45" spans="1:16" s="275" customFormat="1">
      <c r="A45" s="454"/>
      <c r="B45" s="274" t="s">
        <v>368</v>
      </c>
      <c r="C45" s="251">
        <v>15000</v>
      </c>
      <c r="D45" s="348">
        <v>1504.4541083333299</v>
      </c>
      <c r="E45" s="348">
        <v>287.25763888888901</v>
      </c>
      <c r="F45" s="348">
        <v>17477</v>
      </c>
      <c r="G45" s="288" t="s">
        <v>368</v>
      </c>
      <c r="H45" s="252">
        <v>15000</v>
      </c>
      <c r="I45" s="349">
        <v>1420.03074444444</v>
      </c>
      <c r="J45" s="349">
        <v>479.43397777777801</v>
      </c>
      <c r="K45" s="349">
        <v>17477</v>
      </c>
      <c r="L45" s="282" t="s">
        <v>368</v>
      </c>
      <c r="M45" s="253">
        <v>15000</v>
      </c>
      <c r="N45" s="350">
        <v>1374.08450277778</v>
      </c>
      <c r="O45" s="350">
        <v>732.98616111111096</v>
      </c>
      <c r="P45" s="350">
        <v>17476</v>
      </c>
    </row>
    <row r="46" spans="1:16" s="275" customFormat="1">
      <c r="A46" s="454"/>
      <c r="B46" s="274" t="s">
        <v>368</v>
      </c>
      <c r="C46" s="251">
        <v>17000</v>
      </c>
      <c r="D46" s="348">
        <v>1977.6269500000001</v>
      </c>
      <c r="E46" s="348">
        <v>394.87920555555598</v>
      </c>
      <c r="F46" s="348">
        <v>19463</v>
      </c>
      <c r="G46" s="288" t="s">
        <v>368</v>
      </c>
      <c r="H46" s="252">
        <v>17000</v>
      </c>
      <c r="I46" s="349">
        <v>2057.91376111111</v>
      </c>
      <c r="J46" s="349">
        <v>755.40391666666699</v>
      </c>
      <c r="K46" s="349">
        <v>19465</v>
      </c>
      <c r="L46" s="282" t="s">
        <v>368</v>
      </c>
      <c r="M46" s="253">
        <v>17000</v>
      </c>
      <c r="N46" s="350">
        <v>2042.5875777777801</v>
      </c>
      <c r="O46" s="350">
        <v>1191.73634444444</v>
      </c>
      <c r="P46" s="350">
        <v>19465</v>
      </c>
    </row>
    <row r="47" spans="1:16" s="275" customFormat="1">
      <c r="A47" s="454"/>
      <c r="B47" s="274" t="s">
        <v>368</v>
      </c>
      <c r="C47" s="251">
        <v>19000</v>
      </c>
      <c r="D47" s="348">
        <v>2799.0023972222202</v>
      </c>
      <c r="E47" s="348">
        <v>599.38424722222203</v>
      </c>
      <c r="F47" s="348">
        <v>21458</v>
      </c>
      <c r="G47" s="288" t="s">
        <v>368</v>
      </c>
      <c r="H47" s="252">
        <v>19000</v>
      </c>
      <c r="I47" s="349">
        <v>3499.2281972222199</v>
      </c>
      <c r="J47" s="349">
        <v>1485.9774500000001</v>
      </c>
      <c r="K47" s="349">
        <v>21460</v>
      </c>
      <c r="L47" s="282" t="s">
        <v>368</v>
      </c>
      <c r="M47" s="253">
        <v>19000</v>
      </c>
      <c r="N47" s="350">
        <v>6329.1662527777798</v>
      </c>
      <c r="O47" s="350">
        <v>4794.1947111111103</v>
      </c>
      <c r="P47" s="350">
        <v>21458</v>
      </c>
    </row>
    <row r="48" spans="1:16" s="277" customFormat="1" ht="14.55" customHeight="1">
      <c r="A48" s="455" t="s">
        <v>366</v>
      </c>
      <c r="B48" s="276" t="s">
        <v>370</v>
      </c>
      <c r="C48" s="254">
        <v>3000</v>
      </c>
      <c r="D48" s="351">
        <v>40.780016666666697</v>
      </c>
      <c r="E48" s="351">
        <v>9.57433333333333</v>
      </c>
      <c r="F48" s="351">
        <v>5553</v>
      </c>
      <c r="G48" s="289" t="s">
        <v>370</v>
      </c>
      <c r="H48" s="255">
        <v>3000</v>
      </c>
      <c r="I48" s="352">
        <v>38.615591666666703</v>
      </c>
      <c r="J48" s="352">
        <v>14.4823222222222</v>
      </c>
      <c r="K48" s="352">
        <v>5553</v>
      </c>
      <c r="L48" s="284" t="s">
        <v>370</v>
      </c>
      <c r="M48" s="257">
        <v>3000</v>
      </c>
      <c r="N48" s="354">
        <v>35.1471916666667</v>
      </c>
      <c r="O48" s="354">
        <v>19.47785</v>
      </c>
      <c r="P48" s="354">
        <v>5553</v>
      </c>
    </row>
    <row r="49" spans="1:16" s="277" customFormat="1" ht="14.55" customHeight="1">
      <c r="A49" s="455"/>
      <c r="B49" s="276" t="s">
        <v>370</v>
      </c>
      <c r="C49" s="254">
        <v>5000</v>
      </c>
      <c r="D49" s="351">
        <v>83.645908333333296</v>
      </c>
      <c r="E49" s="351">
        <v>14.217402777777799</v>
      </c>
      <c r="F49" s="351">
        <v>7546</v>
      </c>
      <c r="G49" s="289" t="s">
        <v>370</v>
      </c>
      <c r="H49" s="255">
        <v>5000</v>
      </c>
      <c r="I49" s="352">
        <v>79.632194444444494</v>
      </c>
      <c r="J49" s="352">
        <v>22.6246861111111</v>
      </c>
      <c r="K49" s="352">
        <v>7543</v>
      </c>
      <c r="L49" s="284" t="s">
        <v>370</v>
      </c>
      <c r="M49" s="257">
        <v>5000</v>
      </c>
      <c r="N49" s="354">
        <v>73.264449999999997</v>
      </c>
      <c r="O49" s="354">
        <v>30.647272222222199</v>
      </c>
      <c r="P49" s="354">
        <v>7542</v>
      </c>
    </row>
    <row r="50" spans="1:16" s="277" customFormat="1" ht="14.55" customHeight="1">
      <c r="A50" s="455"/>
      <c r="B50" s="276" t="s">
        <v>370</v>
      </c>
      <c r="C50" s="254">
        <v>7000</v>
      </c>
      <c r="D50" s="351">
        <v>148.16282777777801</v>
      </c>
      <c r="E50" s="351">
        <v>22.189391666666701</v>
      </c>
      <c r="F50" s="351">
        <v>9530</v>
      </c>
      <c r="G50" s="289" t="s">
        <v>370</v>
      </c>
      <c r="H50" s="255">
        <v>7000</v>
      </c>
      <c r="I50" s="352">
        <v>141.27077777777799</v>
      </c>
      <c r="J50" s="352">
        <v>36.292066666666699</v>
      </c>
      <c r="K50" s="352">
        <v>9529</v>
      </c>
      <c r="L50" s="284" t="s">
        <v>370</v>
      </c>
      <c r="M50" s="257">
        <v>7000</v>
      </c>
      <c r="N50" s="354">
        <v>131.66714166666699</v>
      </c>
      <c r="O50" s="354">
        <v>51.134780555555601</v>
      </c>
      <c r="P50" s="354">
        <v>9528</v>
      </c>
    </row>
    <row r="51" spans="1:16" s="277" customFormat="1" ht="14.55" customHeight="1">
      <c r="A51" s="455"/>
      <c r="B51" s="276" t="s">
        <v>370</v>
      </c>
      <c r="C51" s="254">
        <v>9000</v>
      </c>
      <c r="D51" s="351">
        <v>236.022525</v>
      </c>
      <c r="E51" s="351">
        <v>37.484055555555599</v>
      </c>
      <c r="F51" s="351">
        <v>11510</v>
      </c>
      <c r="G51" s="289" t="s">
        <v>370</v>
      </c>
      <c r="H51" s="255">
        <v>9000</v>
      </c>
      <c r="I51" s="352">
        <v>227.10083611111099</v>
      </c>
      <c r="J51" s="352">
        <v>60.378061111111101</v>
      </c>
      <c r="K51" s="352">
        <v>11510</v>
      </c>
      <c r="L51" s="284" t="s">
        <v>370</v>
      </c>
      <c r="M51" s="257">
        <v>9000</v>
      </c>
      <c r="N51" s="354">
        <v>211.15673055555601</v>
      </c>
      <c r="O51" s="354">
        <v>84.639452777777805</v>
      </c>
      <c r="P51" s="354">
        <v>11508</v>
      </c>
    </row>
    <row r="52" spans="1:16" s="277" customFormat="1">
      <c r="A52" s="455"/>
      <c r="B52" s="276" t="s">
        <v>370</v>
      </c>
      <c r="C52" s="254">
        <v>11000</v>
      </c>
      <c r="D52" s="351">
        <v>347.67665833333302</v>
      </c>
      <c r="E52" s="351">
        <v>55.0298444444444</v>
      </c>
      <c r="F52" s="351">
        <v>13511</v>
      </c>
      <c r="G52" s="289" t="s">
        <v>370</v>
      </c>
      <c r="H52" s="255">
        <v>11000</v>
      </c>
      <c r="I52" s="352">
        <v>335.95885833333301</v>
      </c>
      <c r="J52" s="352">
        <v>89.104661111111099</v>
      </c>
      <c r="K52" s="352">
        <v>13511</v>
      </c>
      <c r="L52" s="284" t="s">
        <v>370</v>
      </c>
      <c r="M52" s="257">
        <v>11000</v>
      </c>
      <c r="N52" s="354">
        <v>307.33483611111097</v>
      </c>
      <c r="O52" s="354">
        <v>128.569580555556</v>
      </c>
      <c r="P52" s="354">
        <v>13510</v>
      </c>
    </row>
    <row r="53" spans="1:16" s="277" customFormat="1">
      <c r="A53" s="455"/>
      <c r="B53" s="276" t="s">
        <v>370</v>
      </c>
      <c r="C53" s="254">
        <v>13000</v>
      </c>
      <c r="D53" s="351">
        <v>490.66071111111103</v>
      </c>
      <c r="E53" s="351">
        <v>80.072108333333304</v>
      </c>
      <c r="F53" s="351">
        <v>15503</v>
      </c>
      <c r="G53" s="289" t="s">
        <v>370</v>
      </c>
      <c r="H53" s="255">
        <v>13000</v>
      </c>
      <c r="I53" s="352">
        <v>469.40506111111102</v>
      </c>
      <c r="J53" s="352">
        <v>132.83937499999999</v>
      </c>
      <c r="K53" s="352">
        <v>15502</v>
      </c>
      <c r="L53" s="284" t="s">
        <v>370</v>
      </c>
      <c r="M53" s="257">
        <v>13000</v>
      </c>
      <c r="N53" s="354">
        <v>442.827280555556</v>
      </c>
      <c r="O53" s="354">
        <v>194.108</v>
      </c>
      <c r="P53" s="354">
        <v>15502</v>
      </c>
    </row>
    <row r="54" spans="1:16" s="277" customFormat="1">
      <c r="A54" s="455"/>
      <c r="B54" s="276" t="s">
        <v>370</v>
      </c>
      <c r="C54" s="254">
        <v>15000</v>
      </c>
      <c r="D54" s="351">
        <v>684.61620277777797</v>
      </c>
      <c r="E54" s="351">
        <v>116.89638333333301</v>
      </c>
      <c r="F54" s="351">
        <v>17484</v>
      </c>
      <c r="G54" s="289" t="s">
        <v>370</v>
      </c>
      <c r="H54" s="255">
        <v>15000</v>
      </c>
      <c r="I54" s="352">
        <v>664.85963333333302</v>
      </c>
      <c r="J54" s="352">
        <v>199.530458333333</v>
      </c>
      <c r="K54" s="352">
        <v>17485</v>
      </c>
      <c r="L54" s="284" t="s">
        <v>370</v>
      </c>
      <c r="M54" s="257">
        <v>15000</v>
      </c>
      <c r="N54" s="354">
        <v>641.654613888889</v>
      </c>
      <c r="O54" s="354">
        <v>301.859916666667</v>
      </c>
      <c r="P54" s="354">
        <v>17484</v>
      </c>
    </row>
    <row r="55" spans="1:16" s="277" customFormat="1">
      <c r="A55" s="455"/>
      <c r="B55" s="276" t="s">
        <v>370</v>
      </c>
      <c r="C55" s="254">
        <v>17000</v>
      </c>
      <c r="D55" s="351">
        <v>954.32134444444398</v>
      </c>
      <c r="E55" s="351">
        <v>172.82253333333301</v>
      </c>
      <c r="F55" s="351">
        <v>19468</v>
      </c>
      <c r="G55" s="289" t="s">
        <v>370</v>
      </c>
      <c r="H55" s="255">
        <v>17000</v>
      </c>
      <c r="I55" s="352">
        <v>952.42574999999999</v>
      </c>
      <c r="J55" s="352">
        <v>311.042477777778</v>
      </c>
      <c r="K55" s="352">
        <v>19468</v>
      </c>
      <c r="L55" s="284" t="s">
        <v>370</v>
      </c>
      <c r="M55" s="257">
        <v>17000</v>
      </c>
      <c r="N55" s="354">
        <v>1286.4032999999999</v>
      </c>
      <c r="O55" s="354">
        <v>745.45654999999999</v>
      </c>
      <c r="P55" s="354">
        <v>19468</v>
      </c>
    </row>
    <row r="56" spans="1:16" s="277" customFormat="1">
      <c r="A56" s="455"/>
      <c r="B56" s="276" t="s">
        <v>370</v>
      </c>
      <c r="C56" s="254">
        <v>19000</v>
      </c>
      <c r="D56" s="351">
        <v>1326.0501666666701</v>
      </c>
      <c r="E56" s="351">
        <v>260.61270833333299</v>
      </c>
      <c r="F56" s="351">
        <v>21466</v>
      </c>
      <c r="G56" s="289" t="s">
        <v>370</v>
      </c>
      <c r="H56" s="255">
        <v>19000</v>
      </c>
      <c r="I56" s="352">
        <v>2327.7846361111101</v>
      </c>
      <c r="J56" s="352">
        <v>1005.08901666667</v>
      </c>
      <c r="K56" s="352">
        <v>21465</v>
      </c>
      <c r="L56" s="284" t="s">
        <v>370</v>
      </c>
      <c r="M56" s="257">
        <v>19000</v>
      </c>
      <c r="N56" s="354">
        <v>5234.3345722222202</v>
      </c>
      <c r="O56" s="354">
        <v>4072.09736666667</v>
      </c>
      <c r="P56" s="354">
        <v>21463</v>
      </c>
    </row>
    <row r="57" spans="1:16" s="279" customFormat="1" ht="14.55" customHeight="1">
      <c r="A57" s="456" t="s">
        <v>328</v>
      </c>
      <c r="B57" s="278" t="s">
        <v>326</v>
      </c>
      <c r="C57" s="258">
        <v>3000</v>
      </c>
      <c r="D57" s="355">
        <v>17.5293666666667</v>
      </c>
      <c r="E57" s="355">
        <v>7.1062972222222198</v>
      </c>
      <c r="F57" s="355">
        <v>5553</v>
      </c>
      <c r="G57" s="290" t="s">
        <v>326</v>
      </c>
      <c r="H57" s="259">
        <v>3000</v>
      </c>
      <c r="I57" s="356">
        <v>15.9578166666667</v>
      </c>
      <c r="J57" s="356">
        <v>10.3849416666667</v>
      </c>
      <c r="K57" s="356">
        <v>5553</v>
      </c>
      <c r="L57" s="285" t="s">
        <v>326</v>
      </c>
      <c r="M57" s="260">
        <v>3000</v>
      </c>
      <c r="N57" s="357">
        <v>14.0744722222222</v>
      </c>
      <c r="O57" s="357">
        <v>13.7702777777778</v>
      </c>
      <c r="P57" s="357">
        <v>5553</v>
      </c>
    </row>
    <row r="58" spans="1:16" s="279" customFormat="1" ht="14.55" customHeight="1">
      <c r="A58" s="456"/>
      <c r="B58" s="278" t="s">
        <v>326</v>
      </c>
      <c r="C58" s="258">
        <v>5000</v>
      </c>
      <c r="D58" s="355">
        <v>20.866152777777799</v>
      </c>
      <c r="E58" s="355">
        <v>7.5726861111111097</v>
      </c>
      <c r="F58" s="355">
        <v>7546</v>
      </c>
      <c r="G58" s="290" t="s">
        <v>326</v>
      </c>
      <c r="H58" s="259">
        <v>5000</v>
      </c>
      <c r="I58" s="356">
        <v>18.837486111111101</v>
      </c>
      <c r="J58" s="356">
        <v>11.109033333333301</v>
      </c>
      <c r="K58" s="356">
        <v>7544</v>
      </c>
      <c r="L58" s="285" t="s">
        <v>326</v>
      </c>
      <c r="M58" s="260">
        <v>5000</v>
      </c>
      <c r="N58" s="357">
        <v>18.304549999999999</v>
      </c>
      <c r="O58" s="357">
        <v>14.895430555555601</v>
      </c>
      <c r="P58" s="357">
        <v>7542</v>
      </c>
    </row>
    <row r="59" spans="1:16" s="279" customFormat="1" ht="14.55" customHeight="1">
      <c r="A59" s="456"/>
      <c r="B59" s="278" t="s">
        <v>326</v>
      </c>
      <c r="C59" s="258">
        <v>7000</v>
      </c>
      <c r="D59" s="355">
        <v>27.392297222222201</v>
      </c>
      <c r="E59" s="355">
        <v>8.2506694444444406</v>
      </c>
      <c r="F59" s="355">
        <v>9531</v>
      </c>
      <c r="G59" s="290" t="s">
        <v>326</v>
      </c>
      <c r="H59" s="259">
        <v>7000</v>
      </c>
      <c r="I59" s="356">
        <v>27.5791694444444</v>
      </c>
      <c r="J59" s="356">
        <v>13.183480555555599</v>
      </c>
      <c r="K59" s="356">
        <v>9530</v>
      </c>
      <c r="L59" s="285" t="s">
        <v>326</v>
      </c>
      <c r="M59" s="260">
        <v>7000</v>
      </c>
      <c r="N59" s="357">
        <v>25.099969444444401</v>
      </c>
      <c r="O59" s="357">
        <v>17.073313888888901</v>
      </c>
      <c r="P59" s="357">
        <v>9529</v>
      </c>
    </row>
    <row r="60" spans="1:16" s="279" customFormat="1" ht="14.55" customHeight="1">
      <c r="A60" s="456"/>
      <c r="B60" s="278" t="s">
        <v>326</v>
      </c>
      <c r="C60" s="258">
        <v>9000</v>
      </c>
      <c r="D60" s="355">
        <v>39.269194444444402</v>
      </c>
      <c r="E60" s="355">
        <v>10.125258333333299</v>
      </c>
      <c r="F60" s="355">
        <v>11511</v>
      </c>
      <c r="G60" s="290" t="s">
        <v>326</v>
      </c>
      <c r="H60" s="259">
        <v>9000</v>
      </c>
      <c r="I60" s="356">
        <v>35.498208333333302</v>
      </c>
      <c r="J60" s="356">
        <v>14.9512</v>
      </c>
      <c r="K60" s="356">
        <v>11511</v>
      </c>
      <c r="L60" s="285" t="s">
        <v>326</v>
      </c>
      <c r="M60" s="260">
        <v>9000</v>
      </c>
      <c r="N60" s="357">
        <v>36.615711111111104</v>
      </c>
      <c r="O60" s="357">
        <v>20.7691083333333</v>
      </c>
      <c r="P60" s="357">
        <v>11509</v>
      </c>
    </row>
    <row r="61" spans="1:16" s="279" customFormat="1">
      <c r="A61" s="456"/>
      <c r="B61" s="278" t="s">
        <v>326</v>
      </c>
      <c r="C61" s="258">
        <v>11000</v>
      </c>
      <c r="D61" s="355">
        <v>49.420194444444398</v>
      </c>
      <c r="E61" s="355">
        <v>10.9839611111111</v>
      </c>
      <c r="F61" s="355">
        <v>13511</v>
      </c>
      <c r="G61" s="290" t="s">
        <v>326</v>
      </c>
      <c r="H61" s="259">
        <v>11000</v>
      </c>
      <c r="I61" s="356">
        <v>54.814530555555599</v>
      </c>
      <c r="J61" s="356">
        <v>17.875522222222202</v>
      </c>
      <c r="K61" s="356">
        <v>13511</v>
      </c>
      <c r="L61" s="285" t="s">
        <v>326</v>
      </c>
      <c r="M61" s="260">
        <v>11000</v>
      </c>
      <c r="N61" s="357">
        <v>59.241677777777802</v>
      </c>
      <c r="O61" s="357">
        <v>28.144127777777801</v>
      </c>
      <c r="P61" s="357">
        <v>13511</v>
      </c>
    </row>
    <row r="62" spans="1:16" s="279" customFormat="1">
      <c r="A62" s="456"/>
      <c r="B62" s="278" t="s">
        <v>326</v>
      </c>
      <c r="C62" s="258">
        <v>13000</v>
      </c>
      <c r="D62" s="355">
        <v>73.883600000000001</v>
      </c>
      <c r="E62" s="355">
        <v>14.297880555555601</v>
      </c>
      <c r="F62" s="355">
        <v>15505</v>
      </c>
      <c r="G62" s="290" t="s">
        <v>326</v>
      </c>
      <c r="H62" s="259">
        <v>13000</v>
      </c>
      <c r="I62" s="356">
        <v>85.6599694444444</v>
      </c>
      <c r="J62" s="356">
        <v>25.3277305555556</v>
      </c>
      <c r="K62" s="356">
        <v>15504</v>
      </c>
      <c r="L62" s="285" t="s">
        <v>326</v>
      </c>
      <c r="M62" s="260">
        <v>13000</v>
      </c>
      <c r="N62" s="357">
        <v>96.152933333333294</v>
      </c>
      <c r="O62" s="357">
        <v>45.769444444444403</v>
      </c>
      <c r="P62" s="357">
        <v>15504</v>
      </c>
    </row>
    <row r="63" spans="1:16" s="279" customFormat="1">
      <c r="A63" s="456"/>
      <c r="B63" s="278" t="s">
        <v>326</v>
      </c>
      <c r="C63" s="258">
        <v>15000</v>
      </c>
      <c r="D63" s="355">
        <v>101.03488611111101</v>
      </c>
      <c r="E63" s="355">
        <v>17.7995444444444</v>
      </c>
      <c r="F63" s="355">
        <v>17487</v>
      </c>
      <c r="G63" s="290" t="s">
        <v>326</v>
      </c>
      <c r="H63" s="259">
        <v>15000</v>
      </c>
      <c r="I63" s="356">
        <v>109.273752777778</v>
      </c>
      <c r="J63" s="356">
        <v>29.302669444444401</v>
      </c>
      <c r="K63" s="356">
        <v>17487</v>
      </c>
      <c r="L63" s="285" t="s">
        <v>326</v>
      </c>
      <c r="M63" s="260">
        <v>15000</v>
      </c>
      <c r="N63" s="357">
        <v>113.595580555556</v>
      </c>
      <c r="O63" s="357">
        <v>43.304227777777797</v>
      </c>
      <c r="P63" s="357">
        <v>17487</v>
      </c>
    </row>
    <row r="64" spans="1:16" s="279" customFormat="1">
      <c r="A64" s="456"/>
      <c r="B64" s="278" t="s">
        <v>326</v>
      </c>
      <c r="C64" s="258">
        <v>17000</v>
      </c>
      <c r="D64" s="355">
        <v>141.63679166666699</v>
      </c>
      <c r="E64" s="355">
        <v>22.690291666666699</v>
      </c>
      <c r="F64" s="355">
        <v>19473</v>
      </c>
      <c r="G64" s="290" t="s">
        <v>326</v>
      </c>
      <c r="H64" s="259">
        <v>17000</v>
      </c>
      <c r="I64" s="356">
        <v>1117.21597222222</v>
      </c>
      <c r="J64" s="356">
        <v>632.683308333333</v>
      </c>
      <c r="K64" s="356">
        <v>19473</v>
      </c>
      <c r="L64" s="285" t="s">
        <v>326</v>
      </c>
      <c r="M64" s="260">
        <v>17000</v>
      </c>
      <c r="N64" s="357">
        <v>314.58589999999998</v>
      </c>
      <c r="O64" s="357">
        <v>196.67201388888901</v>
      </c>
      <c r="P64" s="357">
        <v>19472</v>
      </c>
    </row>
    <row r="65" spans="1:16" s="279" customFormat="1">
      <c r="A65" s="456"/>
      <c r="B65" s="278" t="s">
        <v>326</v>
      </c>
      <c r="C65" s="258">
        <v>19000</v>
      </c>
      <c r="D65" s="355">
        <v>460.054052777778</v>
      </c>
      <c r="E65" s="355">
        <v>115.343736111111</v>
      </c>
      <c r="F65" s="355">
        <v>21469</v>
      </c>
      <c r="G65" s="290" t="s">
        <v>326</v>
      </c>
      <c r="H65" s="259">
        <v>19000</v>
      </c>
      <c r="I65" s="356">
        <v>2664.04895277778</v>
      </c>
      <c r="J65" s="356">
        <v>1864.0069249999999</v>
      </c>
      <c r="K65" s="356">
        <v>21160</v>
      </c>
      <c r="L65" s="285" t="s">
        <v>326</v>
      </c>
      <c r="M65" s="260">
        <v>19000</v>
      </c>
      <c r="N65" s="357">
        <v>3906.7789972222199</v>
      </c>
      <c r="O65" s="357">
        <v>4262.2738722222202</v>
      </c>
      <c r="P65" s="357">
        <v>20837</v>
      </c>
    </row>
    <row r="66" spans="1:16">
      <c r="A66" s="452" t="s">
        <v>329</v>
      </c>
      <c r="B66" s="293" t="s">
        <v>325</v>
      </c>
      <c r="C66" s="295">
        <v>3000</v>
      </c>
      <c r="D66" s="402">
        <v>19.871788888888901</v>
      </c>
      <c r="E66" s="402">
        <v>7.0470083333333298</v>
      </c>
      <c r="F66" s="403">
        <v>5554</v>
      </c>
      <c r="G66" s="296" t="s">
        <v>325</v>
      </c>
      <c r="H66" s="297">
        <v>3000</v>
      </c>
      <c r="I66" s="404">
        <v>17.456097222222201</v>
      </c>
      <c r="J66" s="404">
        <v>10.5747</v>
      </c>
      <c r="K66" s="405">
        <v>5553</v>
      </c>
      <c r="L66" s="298" t="s">
        <v>325</v>
      </c>
      <c r="M66" s="299">
        <v>3000</v>
      </c>
      <c r="N66" s="406">
        <v>15.2568472222222</v>
      </c>
      <c r="O66" s="406">
        <v>14.2517416666667</v>
      </c>
      <c r="P66" s="406">
        <v>5553</v>
      </c>
    </row>
    <row r="67" spans="1:16">
      <c r="A67" s="452"/>
      <c r="B67" s="294" t="s">
        <v>325</v>
      </c>
      <c r="C67" s="295">
        <v>5000</v>
      </c>
      <c r="D67" s="402">
        <v>21.345611111111101</v>
      </c>
      <c r="E67" s="402">
        <v>7.5878750000000004</v>
      </c>
      <c r="F67" s="403">
        <v>7546</v>
      </c>
      <c r="G67" s="296" t="s">
        <v>325</v>
      </c>
      <c r="H67" s="297">
        <v>5000</v>
      </c>
      <c r="I67" s="404">
        <v>20.499833333333299</v>
      </c>
      <c r="J67" s="404">
        <v>11.828808333333299</v>
      </c>
      <c r="K67" s="405">
        <v>7544</v>
      </c>
      <c r="L67" s="298" t="s">
        <v>325</v>
      </c>
      <c r="M67" s="299">
        <v>5000</v>
      </c>
      <c r="N67" s="406">
        <v>18.3245694444444</v>
      </c>
      <c r="O67" s="406">
        <v>15.676591666666701</v>
      </c>
      <c r="P67" s="406">
        <v>7542</v>
      </c>
    </row>
    <row r="68" spans="1:16">
      <c r="A68" s="452"/>
      <c r="B68" s="294" t="s">
        <v>325</v>
      </c>
      <c r="C68" s="295">
        <v>7000</v>
      </c>
      <c r="D68" s="402">
        <v>27.250447222222199</v>
      </c>
      <c r="E68" s="402">
        <v>8.2626666666666697</v>
      </c>
      <c r="F68" s="403">
        <v>9531</v>
      </c>
      <c r="G68" s="296" t="s">
        <v>325</v>
      </c>
      <c r="H68" s="297">
        <v>7000</v>
      </c>
      <c r="I68" s="404">
        <v>30.305322222222198</v>
      </c>
      <c r="J68" s="404">
        <v>13.8885611111111</v>
      </c>
      <c r="K68" s="405">
        <v>9530</v>
      </c>
      <c r="L68" s="298" t="s">
        <v>325</v>
      </c>
      <c r="M68" s="299">
        <v>7000</v>
      </c>
      <c r="N68" s="406">
        <v>27.285711111111102</v>
      </c>
      <c r="O68" s="406">
        <v>19.1254833333333</v>
      </c>
      <c r="P68" s="406">
        <v>9529</v>
      </c>
    </row>
    <row r="69" spans="1:16">
      <c r="A69" s="452"/>
      <c r="B69" s="294" t="s">
        <v>325</v>
      </c>
      <c r="C69" s="295">
        <v>9000</v>
      </c>
      <c r="D69" s="402">
        <v>38.82085</v>
      </c>
      <c r="E69" s="402">
        <v>9.9845194444444392</v>
      </c>
      <c r="F69" s="403">
        <v>11511</v>
      </c>
      <c r="G69" s="296" t="s">
        <v>325</v>
      </c>
      <c r="H69" s="297">
        <v>9000</v>
      </c>
      <c r="I69" s="404">
        <v>35.9937166666667</v>
      </c>
      <c r="J69" s="404">
        <v>15.461447222222199</v>
      </c>
      <c r="K69" s="405">
        <v>11511</v>
      </c>
      <c r="L69" s="298" t="s">
        <v>325</v>
      </c>
      <c r="M69" s="299">
        <v>9000</v>
      </c>
      <c r="N69" s="406">
        <v>37.687325000000001</v>
      </c>
      <c r="O69" s="406">
        <v>22.248094444444401</v>
      </c>
      <c r="P69" s="406">
        <v>11509</v>
      </c>
    </row>
    <row r="70" spans="1:16">
      <c r="A70" s="452"/>
      <c r="B70" s="294" t="s">
        <v>325</v>
      </c>
      <c r="C70" s="295">
        <v>11000</v>
      </c>
      <c r="D70" s="402">
        <v>48.072522222222197</v>
      </c>
      <c r="E70" s="402">
        <v>11.231199999999999</v>
      </c>
      <c r="F70" s="403">
        <v>13511</v>
      </c>
      <c r="G70" s="296" t="s">
        <v>325</v>
      </c>
      <c r="H70" s="297">
        <v>11000</v>
      </c>
      <c r="I70" s="404">
        <v>50.906525000000002</v>
      </c>
      <c r="J70" s="404">
        <v>18.355327777777799</v>
      </c>
      <c r="K70" s="405">
        <v>13511</v>
      </c>
      <c r="L70" s="298" t="s">
        <v>325</v>
      </c>
      <c r="M70" s="299">
        <v>11000</v>
      </c>
      <c r="N70" s="406">
        <v>58.3876361111111</v>
      </c>
      <c r="O70" s="406">
        <v>28.7136472222222</v>
      </c>
      <c r="P70" s="406">
        <v>13511</v>
      </c>
    </row>
    <row r="71" spans="1:16">
      <c r="A71" s="452"/>
      <c r="B71" s="294" t="s">
        <v>325</v>
      </c>
      <c r="C71" s="295">
        <v>13000</v>
      </c>
      <c r="D71" s="402">
        <v>72.3737361111111</v>
      </c>
      <c r="E71" s="402">
        <v>14.9826972222222</v>
      </c>
      <c r="F71" s="403">
        <v>15505</v>
      </c>
      <c r="G71" s="296" t="s">
        <v>325</v>
      </c>
      <c r="H71" s="297">
        <v>13000</v>
      </c>
      <c r="I71" s="404">
        <v>74.233747222222206</v>
      </c>
      <c r="J71" s="404">
        <v>24.452866666666701</v>
      </c>
      <c r="K71" s="405">
        <v>15504</v>
      </c>
      <c r="L71" s="298" t="s">
        <v>325</v>
      </c>
      <c r="M71" s="299">
        <v>13000</v>
      </c>
      <c r="N71" s="406">
        <v>77.364874999999998</v>
      </c>
      <c r="O71" s="406">
        <v>34.986397222222202</v>
      </c>
      <c r="P71" s="406">
        <v>15504</v>
      </c>
    </row>
    <row r="72" spans="1:16">
      <c r="A72" s="452"/>
      <c r="B72" s="294" t="s">
        <v>325</v>
      </c>
      <c r="C72" s="295">
        <v>15000</v>
      </c>
      <c r="D72" s="402">
        <v>621.23157222222198</v>
      </c>
      <c r="E72" s="402">
        <v>187.08781944444399</v>
      </c>
      <c r="F72" s="403">
        <v>17381</v>
      </c>
      <c r="G72" s="296" t="s">
        <v>325</v>
      </c>
      <c r="H72" s="297">
        <v>15000</v>
      </c>
      <c r="I72" s="404">
        <v>1724.3525444444399</v>
      </c>
      <c r="J72" s="404">
        <v>1029.1631</v>
      </c>
      <c r="K72" s="405">
        <v>17215</v>
      </c>
      <c r="L72" s="298" t="s">
        <v>325</v>
      </c>
      <c r="M72" s="299">
        <v>15000</v>
      </c>
      <c r="N72" s="406">
        <v>2011.783825</v>
      </c>
      <c r="O72" s="406">
        <v>2082.7277222222201</v>
      </c>
      <c r="P72" s="406">
        <v>17060</v>
      </c>
    </row>
    <row r="73" spans="1:16">
      <c r="A73" s="452"/>
      <c r="B73" s="294" t="s">
        <v>325</v>
      </c>
      <c r="C73" s="295">
        <v>17000</v>
      </c>
      <c r="D73" s="402">
        <v>132.089586111111</v>
      </c>
      <c r="E73" s="402">
        <v>23.546377777777799</v>
      </c>
      <c r="F73" s="403">
        <v>19472</v>
      </c>
      <c r="G73" s="296" t="s">
        <v>325</v>
      </c>
      <c r="H73" s="297">
        <v>17000</v>
      </c>
      <c r="I73" s="404">
        <v>152.07624722222201</v>
      </c>
      <c r="J73" s="404">
        <v>42.709261111111097</v>
      </c>
      <c r="K73" s="405">
        <v>19473</v>
      </c>
      <c r="L73" s="298" t="s">
        <v>325</v>
      </c>
      <c r="M73" s="299">
        <v>17000</v>
      </c>
      <c r="N73" s="406">
        <v>3027.3141222222198</v>
      </c>
      <c r="O73" s="406">
        <v>3224.4711055555599</v>
      </c>
      <c r="P73" s="406">
        <v>18920</v>
      </c>
    </row>
    <row r="74" spans="1:16">
      <c r="A74" s="452"/>
      <c r="B74" s="294" t="s">
        <v>325</v>
      </c>
      <c r="C74" s="295">
        <v>19000</v>
      </c>
      <c r="D74" s="402">
        <v>3789.0248361111098</v>
      </c>
      <c r="E74" s="402">
        <v>1303.14284444444</v>
      </c>
      <c r="F74" s="403">
        <v>21074</v>
      </c>
      <c r="G74" s="296" t="s">
        <v>325</v>
      </c>
      <c r="H74" s="297">
        <v>19000</v>
      </c>
      <c r="I74" s="404">
        <v>2268.6710472222198</v>
      </c>
      <c r="J74" s="404">
        <v>1408.8448333333299</v>
      </c>
      <c r="K74" s="405">
        <v>21201</v>
      </c>
      <c r="L74" s="298" t="s">
        <v>325</v>
      </c>
      <c r="M74" s="299">
        <v>19000</v>
      </c>
      <c r="N74" s="406">
        <v>3501.6394277777799</v>
      </c>
      <c r="O74" s="406">
        <v>3490.2976111111102</v>
      </c>
      <c r="P74" s="406">
        <v>20811</v>
      </c>
    </row>
    <row r="76" spans="1:16">
      <c r="F76" s="291"/>
    </row>
  </sheetData>
  <mergeCells count="11">
    <mergeCell ref="A66:A74"/>
    <mergeCell ref="L1:P1"/>
    <mergeCell ref="G1:K1"/>
    <mergeCell ref="B1:F1"/>
    <mergeCell ref="A39:A47"/>
    <mergeCell ref="A48:A56"/>
    <mergeCell ref="A57:A65"/>
    <mergeCell ref="A3:A11"/>
    <mergeCell ref="A12:A20"/>
    <mergeCell ref="A21:A29"/>
    <mergeCell ref="A30:A38"/>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27"/>
  <sheetViews>
    <sheetView topLeftCell="C1" zoomScaleNormal="100" workbookViewId="0">
      <selection activeCell="AQ18" sqref="AQ18"/>
    </sheetView>
  </sheetViews>
  <sheetFormatPr defaultColWidth="8.77734375" defaultRowHeight="14.4"/>
  <cols>
    <col min="1" max="1" width="14" style="226" bestFit="1" customWidth="1"/>
    <col min="2" max="2" width="11.44140625" style="1" bestFit="1" customWidth="1"/>
    <col min="3" max="3" width="8.21875" style="1" bestFit="1" customWidth="1"/>
    <col min="4" max="4" width="13.5546875" style="1" bestFit="1" customWidth="1"/>
    <col min="5" max="5" width="7.77734375" style="1" bestFit="1" customWidth="1"/>
    <col min="6" max="6" width="36.21875" style="1" hidden="1" customWidth="1"/>
    <col min="7" max="7" width="37.21875" style="1" hidden="1" customWidth="1"/>
    <col min="8" max="8" width="45.77734375" style="1" customWidth="1"/>
    <col min="9" max="9" width="5.77734375" style="1" hidden="1" customWidth="1"/>
    <col min="10" max="10" width="9" style="1" hidden="1" customWidth="1"/>
    <col min="11" max="11" width="12.44140625" style="1" hidden="1" customWidth="1"/>
    <col min="12" max="12" width="5.77734375" style="1" hidden="1" customWidth="1"/>
    <col min="13" max="13" width="8.21875" style="1" hidden="1" customWidth="1"/>
    <col min="14" max="14" width="13.5546875" style="1" hidden="1" customWidth="1"/>
    <col min="15" max="15" width="5.77734375" style="1" hidden="1" customWidth="1"/>
    <col min="16" max="16" width="8.21875" style="1" hidden="1" customWidth="1"/>
    <col min="17" max="17" width="13.5546875" style="1" hidden="1" customWidth="1"/>
    <col min="18" max="18" width="5.77734375" style="1" hidden="1" customWidth="1"/>
    <col min="19" max="19" width="7.77734375" style="1" hidden="1" customWidth="1"/>
    <col min="20" max="20" width="13.5546875" style="1" hidden="1" customWidth="1"/>
    <col min="21" max="21" width="5.77734375" style="1" hidden="1" customWidth="1"/>
    <col min="22" max="22" width="8" style="1" hidden="1" customWidth="1"/>
    <col min="23" max="23" width="13.5546875" style="1" hidden="1" customWidth="1"/>
    <col min="24" max="24" width="2.77734375" style="227" hidden="1" customWidth="1"/>
    <col min="25" max="25" width="16.21875" style="227" customWidth="1"/>
    <col min="26" max="26" width="14.5546875" style="228" customWidth="1"/>
    <col min="27" max="27" width="6.5546875" style="1" hidden="1" customWidth="1"/>
    <col min="28" max="28" width="13.77734375" style="1" hidden="1" customWidth="1"/>
    <col min="29" max="29" width="14.21875" style="1" hidden="1" customWidth="1"/>
    <col min="30" max="30" width="7" style="1" hidden="1" customWidth="1"/>
    <col min="31" max="31" width="8" style="1" hidden="1" customWidth="1"/>
    <col min="32" max="32" width="0" style="1" hidden="1" customWidth="1"/>
    <col min="33" max="33" width="9.21875" style="1" hidden="1" customWidth="1"/>
    <col min="34" max="34" width="7" style="1" hidden="1" customWidth="1"/>
    <col min="35" max="35" width="8" style="1" hidden="1" customWidth="1"/>
    <col min="36" max="36" width="12" style="1" hidden="1" customWidth="1"/>
    <col min="37" max="37" width="12.77734375" style="1" hidden="1" customWidth="1"/>
    <col min="38" max="38" width="12" style="1" hidden="1" customWidth="1"/>
    <col min="39" max="39" width="12.77734375" style="1" hidden="1" customWidth="1"/>
    <col min="40" max="41" width="12.21875" style="1" bestFit="1" customWidth="1"/>
    <col min="42" max="43" width="9.77734375" style="1" bestFit="1" customWidth="1"/>
    <col min="44" max="16384" width="8.77734375" style="1"/>
  </cols>
  <sheetData>
    <row r="1" spans="1:43" s="2" customFormat="1">
      <c r="A1" s="183" t="s">
        <v>96</v>
      </c>
      <c r="B1" s="184" t="s">
        <v>97</v>
      </c>
      <c r="C1" s="184" t="s">
        <v>98</v>
      </c>
      <c r="D1" s="184" t="s">
        <v>99</v>
      </c>
      <c r="E1" s="184" t="s">
        <v>100</v>
      </c>
      <c r="F1" s="184" t="s">
        <v>101</v>
      </c>
      <c r="G1" s="184" t="s">
        <v>102</v>
      </c>
      <c r="H1" s="184" t="s">
        <v>103</v>
      </c>
      <c r="I1" s="184" t="s">
        <v>104</v>
      </c>
      <c r="J1" s="184" t="s">
        <v>105</v>
      </c>
      <c r="K1" s="184" t="s">
        <v>106</v>
      </c>
      <c r="L1" s="184" t="s">
        <v>107</v>
      </c>
      <c r="M1" s="184" t="s">
        <v>108</v>
      </c>
      <c r="N1" s="184" t="s">
        <v>109</v>
      </c>
      <c r="O1" s="184" t="s">
        <v>110</v>
      </c>
      <c r="P1" s="184" t="s">
        <v>111</v>
      </c>
      <c r="Q1" s="184" t="s">
        <v>112</v>
      </c>
      <c r="R1" s="184" t="s">
        <v>113</v>
      </c>
      <c r="S1" s="184" t="s">
        <v>114</v>
      </c>
      <c r="T1" s="184" t="s">
        <v>115</v>
      </c>
      <c r="U1" s="184" t="s">
        <v>116</v>
      </c>
      <c r="V1" s="184" t="s">
        <v>117</v>
      </c>
      <c r="W1" s="184" t="s">
        <v>118</v>
      </c>
      <c r="X1" s="185" t="s">
        <v>119</v>
      </c>
      <c r="Y1" s="185" t="s">
        <v>120</v>
      </c>
      <c r="Z1" s="186" t="s">
        <v>121</v>
      </c>
      <c r="AA1" s="184" t="s">
        <v>122</v>
      </c>
      <c r="AB1" s="184" t="s">
        <v>123</v>
      </c>
      <c r="AC1" s="184" t="s">
        <v>124</v>
      </c>
      <c r="AD1" s="184" t="s">
        <v>125</v>
      </c>
      <c r="AE1" s="184" t="s">
        <v>126</v>
      </c>
      <c r="AF1" s="184" t="s">
        <v>127</v>
      </c>
      <c r="AG1" s="184" t="s">
        <v>128</v>
      </c>
      <c r="AH1" s="184" t="s">
        <v>129</v>
      </c>
      <c r="AI1" s="184" t="s">
        <v>130</v>
      </c>
      <c r="AJ1" s="184" t="s">
        <v>131</v>
      </c>
      <c r="AK1" s="184" t="s">
        <v>132</v>
      </c>
      <c r="AL1" s="184" t="s">
        <v>133</v>
      </c>
      <c r="AM1" s="184" t="s">
        <v>134</v>
      </c>
      <c r="AN1" s="186" t="s">
        <v>135</v>
      </c>
      <c r="AO1" s="186" t="s">
        <v>415</v>
      </c>
      <c r="AP1" s="186" t="s">
        <v>136</v>
      </c>
      <c r="AQ1" s="186" t="s">
        <v>137</v>
      </c>
    </row>
    <row r="2" spans="1:43" s="2" customFormat="1">
      <c r="A2" s="187" t="s">
        <v>138</v>
      </c>
      <c r="B2" s="188"/>
      <c r="C2" s="188"/>
      <c r="D2" s="188"/>
      <c r="E2" s="188"/>
      <c r="F2" s="188"/>
      <c r="G2" s="188"/>
      <c r="H2" s="188"/>
      <c r="I2" s="188"/>
      <c r="J2" s="188"/>
      <c r="K2" s="188"/>
      <c r="L2" s="188"/>
      <c r="M2" s="188"/>
      <c r="N2" s="188"/>
      <c r="O2" s="188"/>
      <c r="P2" s="188"/>
      <c r="Q2" s="188"/>
      <c r="R2" s="188"/>
      <c r="S2" s="188"/>
      <c r="T2" s="188"/>
      <c r="U2" s="188"/>
      <c r="V2" s="188"/>
      <c r="W2" s="188"/>
      <c r="X2" s="189"/>
      <c r="Y2" s="189"/>
      <c r="Z2" s="190"/>
      <c r="AA2" s="188"/>
      <c r="AB2" s="188"/>
      <c r="AC2" s="188"/>
      <c r="AD2" s="188"/>
      <c r="AE2" s="188"/>
      <c r="AF2" s="188"/>
      <c r="AG2" s="188"/>
      <c r="AH2" s="188"/>
      <c r="AI2" s="188"/>
      <c r="AJ2" s="188"/>
      <c r="AK2" s="188"/>
      <c r="AL2" s="188"/>
      <c r="AM2" s="188"/>
      <c r="AN2" s="190"/>
      <c r="AO2" s="190"/>
      <c r="AP2" s="190"/>
      <c r="AQ2" s="190"/>
    </row>
    <row r="3" spans="1:43" ht="43.2">
      <c r="A3" s="191" t="s">
        <v>139</v>
      </c>
      <c r="B3" s="191" t="s">
        <v>139</v>
      </c>
      <c r="C3" s="191" t="s">
        <v>140</v>
      </c>
      <c r="D3" s="191" t="s">
        <v>141</v>
      </c>
      <c r="E3" s="191">
        <v>10.8</v>
      </c>
      <c r="F3" s="192" t="s">
        <v>142</v>
      </c>
      <c r="G3" s="192" t="s">
        <v>143</v>
      </c>
      <c r="H3" s="193" t="s">
        <v>144</v>
      </c>
      <c r="I3" s="194">
        <v>8</v>
      </c>
      <c r="J3" s="194" t="s">
        <v>145</v>
      </c>
      <c r="K3" s="194">
        <v>18500000</v>
      </c>
      <c r="L3" s="194">
        <v>1</v>
      </c>
      <c r="M3" s="194" t="s">
        <v>146</v>
      </c>
      <c r="N3" s="194">
        <v>1</v>
      </c>
      <c r="O3" s="194" t="s">
        <v>147</v>
      </c>
      <c r="P3" s="194" t="s">
        <v>148</v>
      </c>
      <c r="Q3" s="194">
        <v>0</v>
      </c>
      <c r="R3" s="194" t="s">
        <v>147</v>
      </c>
      <c r="S3" s="194" t="s">
        <v>148</v>
      </c>
      <c r="T3" s="194">
        <v>0</v>
      </c>
      <c r="U3" s="194" t="s">
        <v>147</v>
      </c>
      <c r="V3" s="194" t="s">
        <v>148</v>
      </c>
      <c r="W3" s="194">
        <v>0</v>
      </c>
      <c r="X3" s="195">
        <v>825410</v>
      </c>
      <c r="Y3" s="196">
        <v>1383923.15</v>
      </c>
      <c r="Z3" s="197">
        <v>42795</v>
      </c>
      <c r="AA3" s="191" t="s">
        <v>149</v>
      </c>
      <c r="AB3" s="191">
        <v>0.75700000000000001</v>
      </c>
      <c r="AC3" s="191">
        <v>534</v>
      </c>
      <c r="AD3" s="191">
        <v>0.75700000000000001</v>
      </c>
      <c r="AE3" s="191">
        <v>60.378999999999998</v>
      </c>
      <c r="AF3" s="191">
        <v>12.023</v>
      </c>
      <c r="AG3" s="191">
        <v>546</v>
      </c>
      <c r="AH3" s="191">
        <v>0.16300000000000001</v>
      </c>
      <c r="AI3" s="191">
        <v>71.644999999999996</v>
      </c>
      <c r="AJ3" s="191">
        <v>28.692150089999998</v>
      </c>
      <c r="AK3" s="191">
        <v>-97.998865140000007</v>
      </c>
      <c r="AL3" s="191">
        <v>28.81425364</v>
      </c>
      <c r="AM3" s="191">
        <v>-97.858193999999997</v>
      </c>
      <c r="AN3" s="196">
        <f>Y3/E3</f>
        <v>128141.03240740739</v>
      </c>
      <c r="AO3" s="196">
        <f>AN3*(HCI!B62/HCI!B41)</f>
        <v>137361.51259908429</v>
      </c>
    </row>
    <row r="4" spans="1:43">
      <c r="A4" s="198"/>
      <c r="B4" s="191" t="s">
        <v>150</v>
      </c>
      <c r="C4" s="191" t="s">
        <v>151</v>
      </c>
      <c r="D4" s="191" t="s">
        <v>152</v>
      </c>
      <c r="E4" s="191">
        <v>29.687000000000001</v>
      </c>
      <c r="F4" s="191"/>
      <c r="G4" s="191"/>
      <c r="H4" s="191" t="s">
        <v>153</v>
      </c>
      <c r="I4" s="191" t="s">
        <v>154</v>
      </c>
      <c r="J4" s="191" t="s">
        <v>155</v>
      </c>
      <c r="K4" s="191" t="s">
        <v>156</v>
      </c>
      <c r="L4" s="191" t="s">
        <v>147</v>
      </c>
      <c r="M4" s="191" t="s">
        <v>148</v>
      </c>
      <c r="N4" s="191">
        <v>0</v>
      </c>
      <c r="O4" s="191" t="s">
        <v>147</v>
      </c>
      <c r="P4" s="191" t="s">
        <v>148</v>
      </c>
      <c r="Q4" s="191">
        <v>0</v>
      </c>
      <c r="R4" s="191" t="s">
        <v>147</v>
      </c>
      <c r="S4" s="191" t="s">
        <v>148</v>
      </c>
      <c r="T4" s="191">
        <v>0</v>
      </c>
      <c r="U4" s="191" t="s">
        <v>147</v>
      </c>
      <c r="V4" s="191" t="s">
        <v>148</v>
      </c>
      <c r="W4" s="191">
        <v>0</v>
      </c>
      <c r="X4" s="195"/>
      <c r="Y4" s="196">
        <v>13561434.75</v>
      </c>
      <c r="Z4" s="197">
        <v>43678</v>
      </c>
      <c r="AA4" s="191" t="s">
        <v>157</v>
      </c>
      <c r="AB4" s="191">
        <v>21.908000000000001</v>
      </c>
      <c r="AC4" s="191">
        <v>640</v>
      </c>
      <c r="AD4" s="191">
        <v>0.2</v>
      </c>
      <c r="AE4" s="191">
        <v>44.509</v>
      </c>
      <c r="AF4" s="191">
        <v>28.300999999999998</v>
      </c>
      <c r="AG4" s="191">
        <v>646</v>
      </c>
      <c r="AH4" s="191">
        <v>0.6</v>
      </c>
      <c r="AI4" s="191">
        <v>49.45</v>
      </c>
      <c r="AJ4" s="191">
        <v>27.581697269999999</v>
      </c>
      <c r="AK4" s="191">
        <v>-97.74325666</v>
      </c>
      <c r="AL4" s="191">
        <v>27.575915330000001</v>
      </c>
      <c r="AM4" s="191">
        <v>-97.639916510000006</v>
      </c>
      <c r="AN4" s="196">
        <f>Y4/E4</f>
        <v>456813.91686596826</v>
      </c>
      <c r="AO4" s="196">
        <f>AN4*(HCI!B62/HCI!B70)</f>
        <v>432297.23218361032</v>
      </c>
    </row>
    <row r="5" spans="1:43">
      <c r="A5" s="199" t="s">
        <v>158</v>
      </c>
      <c r="B5" s="200" t="s">
        <v>158</v>
      </c>
      <c r="C5" s="201" t="s">
        <v>159</v>
      </c>
      <c r="D5" s="201" t="s">
        <v>160</v>
      </c>
      <c r="E5" s="201">
        <v>2.8239999999999998</v>
      </c>
      <c r="F5" s="202" t="s">
        <v>161</v>
      </c>
      <c r="G5" s="202" t="s">
        <v>162</v>
      </c>
      <c r="H5" s="200" t="s">
        <v>163</v>
      </c>
      <c r="I5" s="201">
        <v>1</v>
      </c>
      <c r="J5" s="201" t="s">
        <v>164</v>
      </c>
      <c r="K5" s="201">
        <v>19500000</v>
      </c>
      <c r="L5" s="201">
        <v>1</v>
      </c>
      <c r="M5" s="201">
        <v>1401</v>
      </c>
      <c r="N5" s="201">
        <v>1</v>
      </c>
      <c r="O5" s="201" t="s">
        <v>147</v>
      </c>
      <c r="P5" s="201" t="s">
        <v>148</v>
      </c>
      <c r="Q5" s="201">
        <v>0</v>
      </c>
      <c r="R5" s="201" t="s">
        <v>147</v>
      </c>
      <c r="S5" s="201" t="s">
        <v>148</v>
      </c>
      <c r="T5" s="201">
        <v>0</v>
      </c>
      <c r="U5" s="201" t="s">
        <v>147</v>
      </c>
      <c r="V5" s="201" t="s">
        <v>148</v>
      </c>
      <c r="W5" s="201">
        <v>0</v>
      </c>
      <c r="X5" s="203">
        <v>3884999</v>
      </c>
      <c r="Y5" s="204">
        <v>3884998.7</v>
      </c>
      <c r="Z5" s="205">
        <v>43525</v>
      </c>
      <c r="AA5" s="200" t="s">
        <v>149</v>
      </c>
      <c r="AB5" s="200">
        <v>2.5990000000000002</v>
      </c>
      <c r="AC5" s="200">
        <v>516</v>
      </c>
      <c r="AD5" s="200">
        <v>0.59</v>
      </c>
      <c r="AE5" s="200">
        <v>42.414999999999999</v>
      </c>
      <c r="AF5" s="200">
        <v>11.738</v>
      </c>
      <c r="AG5" s="200">
        <v>526</v>
      </c>
      <c r="AH5" s="200">
        <v>-9.6000000000000002E-2</v>
      </c>
      <c r="AI5" s="200">
        <v>51.554000000000002</v>
      </c>
      <c r="AJ5" s="200">
        <v>28.48917449</v>
      </c>
      <c r="AK5" s="200">
        <v>-98.143057819999996</v>
      </c>
      <c r="AL5" s="200">
        <v>28.585543909999998</v>
      </c>
      <c r="AM5" s="200">
        <v>-98.043918009999999</v>
      </c>
      <c r="AN5" s="204">
        <f t="shared" ref="AN5:AN21" si="0">Y5/E5</f>
        <v>1375707.7549575071</v>
      </c>
      <c r="AO5" s="204">
        <f>AN5*(HCI!B62/HCI!B65)</f>
        <v>1347300.8101648742</v>
      </c>
    </row>
    <row r="6" spans="1:43">
      <c r="A6" s="199" t="s">
        <v>165</v>
      </c>
      <c r="B6" s="200" t="s">
        <v>166</v>
      </c>
      <c r="C6" s="200" t="s">
        <v>167</v>
      </c>
      <c r="D6" s="200" t="s">
        <v>168</v>
      </c>
      <c r="E6" s="200">
        <v>6.21</v>
      </c>
      <c r="F6" s="200" t="s">
        <v>169</v>
      </c>
      <c r="G6" s="200" t="s">
        <v>170</v>
      </c>
      <c r="H6" s="200" t="s">
        <v>171</v>
      </c>
      <c r="I6" s="200">
        <v>1</v>
      </c>
      <c r="J6" s="200" t="s">
        <v>164</v>
      </c>
      <c r="K6" s="200">
        <v>13622198</v>
      </c>
      <c r="L6" s="200" t="s">
        <v>147</v>
      </c>
      <c r="M6" s="200" t="s">
        <v>148</v>
      </c>
      <c r="N6" s="200">
        <v>0</v>
      </c>
      <c r="O6" s="200" t="s">
        <v>147</v>
      </c>
      <c r="P6" s="200" t="s">
        <v>148</v>
      </c>
      <c r="Q6" s="200">
        <v>0</v>
      </c>
      <c r="R6" s="200" t="s">
        <v>147</v>
      </c>
      <c r="S6" s="200" t="s">
        <v>148</v>
      </c>
      <c r="T6" s="200">
        <v>0</v>
      </c>
      <c r="U6" s="200" t="s">
        <v>147</v>
      </c>
      <c r="V6" s="200" t="s">
        <v>148</v>
      </c>
      <c r="W6" s="200">
        <v>0</v>
      </c>
      <c r="X6" s="203">
        <v>8250000</v>
      </c>
      <c r="Y6" s="204">
        <f>5643329.31+120093.45</f>
        <v>5763422.7599999998</v>
      </c>
      <c r="Z6" s="206">
        <v>42005</v>
      </c>
      <c r="AA6" s="200" t="s">
        <v>172</v>
      </c>
      <c r="AB6" s="200">
        <v>1.782</v>
      </c>
      <c r="AC6" s="200">
        <v>544</v>
      </c>
      <c r="AD6" s="200">
        <v>0.75800000000000001</v>
      </c>
      <c r="AE6" s="200">
        <v>33.173000000000002</v>
      </c>
      <c r="AF6" s="200">
        <v>11.864000000000001</v>
      </c>
      <c r="AG6" s="200">
        <v>554</v>
      </c>
      <c r="AH6" s="200">
        <v>0.88200000000000001</v>
      </c>
      <c r="AI6" s="200">
        <v>43.255000000000003</v>
      </c>
      <c r="AJ6" s="200">
        <v>28.958586700000001</v>
      </c>
      <c r="AK6" s="200">
        <v>-97.988777159999998</v>
      </c>
      <c r="AL6" s="200">
        <v>28.911376069999999</v>
      </c>
      <c r="AM6" s="200">
        <v>-97.938051220000006</v>
      </c>
      <c r="AN6" s="204">
        <f t="shared" si="0"/>
        <v>928087.40096618352</v>
      </c>
      <c r="AO6" s="204">
        <f>AN6*(HCI!B62/HCI!B15)</f>
        <v>940470.53276594169</v>
      </c>
    </row>
    <row r="7" spans="1:43">
      <c r="A7" s="199" t="s">
        <v>165</v>
      </c>
      <c r="B7" s="200" t="s">
        <v>165</v>
      </c>
      <c r="C7" s="200" t="s">
        <v>167</v>
      </c>
      <c r="D7" s="200" t="s">
        <v>168</v>
      </c>
      <c r="E7" s="200">
        <v>7.13</v>
      </c>
      <c r="F7" s="200" t="s">
        <v>173</v>
      </c>
      <c r="G7" s="200" t="s">
        <v>174</v>
      </c>
      <c r="H7" s="200" t="s">
        <v>171</v>
      </c>
      <c r="I7" s="200">
        <v>8</v>
      </c>
      <c r="J7" s="200" t="s">
        <v>175</v>
      </c>
      <c r="K7" s="200">
        <v>554972</v>
      </c>
      <c r="L7" s="200" t="s">
        <v>147</v>
      </c>
      <c r="M7" s="200" t="s">
        <v>148</v>
      </c>
      <c r="N7" s="200">
        <v>0</v>
      </c>
      <c r="O7" s="200" t="s">
        <v>147</v>
      </c>
      <c r="P7" s="200" t="s">
        <v>148</v>
      </c>
      <c r="Q7" s="200">
        <v>0</v>
      </c>
      <c r="R7" s="200" t="s">
        <v>147</v>
      </c>
      <c r="S7" s="200" t="s">
        <v>148</v>
      </c>
      <c r="T7" s="200">
        <v>0</v>
      </c>
      <c r="U7" s="200" t="s">
        <v>147</v>
      </c>
      <c r="V7" s="200" t="s">
        <v>148</v>
      </c>
      <c r="W7" s="200">
        <v>0</v>
      </c>
      <c r="X7" s="203">
        <v>6000000</v>
      </c>
      <c r="Y7" s="204">
        <f>5988509.76+143990.57+590527.99</f>
        <v>6723028.3200000003</v>
      </c>
      <c r="Z7" s="206">
        <v>42005</v>
      </c>
      <c r="AA7" s="200" t="s">
        <v>157</v>
      </c>
      <c r="AB7" s="200"/>
      <c r="AC7" s="200">
        <v>566</v>
      </c>
      <c r="AD7" s="200">
        <v>0.501</v>
      </c>
      <c r="AE7" s="200">
        <v>131.459</v>
      </c>
      <c r="AF7" s="200">
        <v>4.53</v>
      </c>
      <c r="AG7" s="200">
        <v>572</v>
      </c>
      <c r="AH7" s="200">
        <v>0.59899999999999998</v>
      </c>
      <c r="AI7" s="200">
        <v>135.989</v>
      </c>
      <c r="AJ7" s="200">
        <v>28.03835625</v>
      </c>
      <c r="AK7" s="200">
        <v>-97.860780329999997</v>
      </c>
      <c r="AL7" s="200">
        <v>28.089233979999999</v>
      </c>
      <c r="AM7" s="200">
        <v>-97.821587890000004</v>
      </c>
      <c r="AN7" s="204">
        <f t="shared" si="0"/>
        <v>942921.22300140257</v>
      </c>
      <c r="AO7" s="204">
        <f>AN7*(HCI!B62/HCI!B15)</f>
        <v>955502.27707999467</v>
      </c>
    </row>
    <row r="8" spans="1:43">
      <c r="A8" s="199" t="s">
        <v>176</v>
      </c>
      <c r="B8" s="200" t="s">
        <v>177</v>
      </c>
      <c r="C8" s="200" t="s">
        <v>178</v>
      </c>
      <c r="D8" s="200" t="s">
        <v>179</v>
      </c>
      <c r="E8" s="200">
        <v>2.331</v>
      </c>
      <c r="F8" s="200" t="s">
        <v>180</v>
      </c>
      <c r="G8" s="200" t="s">
        <v>181</v>
      </c>
      <c r="H8" s="200" t="s">
        <v>182</v>
      </c>
      <c r="I8" s="200">
        <v>8</v>
      </c>
      <c r="J8" s="200" t="s">
        <v>175</v>
      </c>
      <c r="K8" s="200">
        <v>855583</v>
      </c>
      <c r="L8" s="200" t="s">
        <v>147</v>
      </c>
      <c r="M8" s="200" t="s">
        <v>148</v>
      </c>
      <c r="N8" s="200">
        <v>0</v>
      </c>
      <c r="O8" s="200" t="s">
        <v>147</v>
      </c>
      <c r="P8" s="200" t="s">
        <v>148</v>
      </c>
      <c r="Q8" s="200">
        <v>0</v>
      </c>
      <c r="R8" s="200" t="s">
        <v>147</v>
      </c>
      <c r="S8" s="200" t="s">
        <v>148</v>
      </c>
      <c r="T8" s="200">
        <v>0</v>
      </c>
      <c r="U8" s="200" t="s">
        <v>147</v>
      </c>
      <c r="V8" s="200" t="s">
        <v>148</v>
      </c>
      <c r="W8" s="200">
        <v>0</v>
      </c>
      <c r="X8" s="203">
        <v>1769000</v>
      </c>
      <c r="Y8" s="204">
        <v>2889000.27</v>
      </c>
      <c r="Z8" s="206">
        <v>41487</v>
      </c>
      <c r="AA8" s="200" t="s">
        <v>157</v>
      </c>
      <c r="AB8" s="200">
        <v>4.2000000000000003E-2</v>
      </c>
      <c r="AC8" s="200">
        <v>572</v>
      </c>
      <c r="AD8" s="200">
        <v>0.59899999999999998</v>
      </c>
      <c r="AE8" s="200">
        <v>135.989</v>
      </c>
      <c r="AF8" s="200">
        <v>6.9260000000000002</v>
      </c>
      <c r="AG8" s="200">
        <v>580</v>
      </c>
      <c r="AH8" s="200">
        <v>2E-3</v>
      </c>
      <c r="AI8" s="200">
        <v>142.87299999999999</v>
      </c>
      <c r="AJ8" s="200">
        <v>28.089233979999999</v>
      </c>
      <c r="AK8" s="200">
        <v>-97.821587890000004</v>
      </c>
      <c r="AL8" s="200">
        <v>28.166044500000002</v>
      </c>
      <c r="AM8" s="200">
        <v>-97.76043353</v>
      </c>
      <c r="AN8" s="204">
        <f t="shared" si="0"/>
        <v>1239382.3552123553</v>
      </c>
      <c r="AO8" s="204">
        <f>AN8*(HCI!B62/HCI!B2)</f>
        <v>1357619.0580286169</v>
      </c>
    </row>
    <row r="9" spans="1:43">
      <c r="A9" s="199" t="s">
        <v>176</v>
      </c>
      <c r="B9" s="200" t="s">
        <v>176</v>
      </c>
      <c r="C9" s="200" t="s">
        <v>183</v>
      </c>
      <c r="D9" s="200" t="s">
        <v>179</v>
      </c>
      <c r="E9" s="200">
        <v>3.0590000000000002</v>
      </c>
      <c r="F9" s="200" t="s">
        <v>184</v>
      </c>
      <c r="G9" s="200" t="s">
        <v>185</v>
      </c>
      <c r="H9" s="200" t="s">
        <v>182</v>
      </c>
      <c r="I9" s="200">
        <v>8</v>
      </c>
      <c r="J9" s="200" t="s">
        <v>175</v>
      </c>
      <c r="K9" s="200">
        <v>901830</v>
      </c>
      <c r="L9" s="200" t="s">
        <v>147</v>
      </c>
      <c r="M9" s="200" t="s">
        <v>148</v>
      </c>
      <c r="N9" s="200">
        <v>0</v>
      </c>
      <c r="O9" s="200" t="s">
        <v>147</v>
      </c>
      <c r="P9" s="200" t="s">
        <v>148</v>
      </c>
      <c r="Q9" s="200">
        <v>0</v>
      </c>
      <c r="R9" s="200" t="s">
        <v>147</v>
      </c>
      <c r="S9" s="200" t="s">
        <v>148</v>
      </c>
      <c r="T9" s="200">
        <v>0</v>
      </c>
      <c r="U9" s="200" t="s">
        <v>147</v>
      </c>
      <c r="V9" s="200" t="s">
        <v>148</v>
      </c>
      <c r="W9" s="200">
        <v>0</v>
      </c>
      <c r="X9" s="203">
        <v>3331000</v>
      </c>
      <c r="Y9" s="204">
        <v>4451487.63</v>
      </c>
      <c r="Z9" s="206">
        <v>41487</v>
      </c>
      <c r="AA9" s="200" t="s">
        <v>157</v>
      </c>
      <c r="AB9" s="200"/>
      <c r="AC9" s="200">
        <v>580</v>
      </c>
      <c r="AD9" s="200">
        <v>2E-3</v>
      </c>
      <c r="AE9" s="200">
        <v>142.87299999999999</v>
      </c>
      <c r="AF9" s="200">
        <v>7.2939999999999996</v>
      </c>
      <c r="AG9" s="200">
        <v>586</v>
      </c>
      <c r="AH9" s="200">
        <v>1.2450000000000001</v>
      </c>
      <c r="AI9" s="200">
        <v>150.167</v>
      </c>
      <c r="AJ9" s="200">
        <v>28.166044500000002</v>
      </c>
      <c r="AK9" s="200">
        <v>-97.76043353</v>
      </c>
      <c r="AL9" s="200">
        <v>28.246693910000001</v>
      </c>
      <c r="AM9" s="200">
        <v>-97.683121540000002</v>
      </c>
      <c r="AN9" s="204">
        <f t="shared" si="0"/>
        <v>1455210.0784570121</v>
      </c>
      <c r="AO9" s="204">
        <f>AN9*(HCI!B62/HCI!B2)</f>
        <v>1594036.6809644119</v>
      </c>
    </row>
    <row r="10" spans="1:43">
      <c r="A10" s="199"/>
      <c r="B10" s="200" t="s">
        <v>186</v>
      </c>
      <c r="C10" s="200" t="s">
        <v>187</v>
      </c>
      <c r="D10" s="200" t="s">
        <v>152</v>
      </c>
      <c r="E10" s="200">
        <v>16.786999999999999</v>
      </c>
      <c r="F10" s="200"/>
      <c r="G10" s="200"/>
      <c r="H10" s="200" t="s">
        <v>188</v>
      </c>
      <c r="I10" s="200">
        <v>8</v>
      </c>
      <c r="J10" s="200" t="s">
        <v>175</v>
      </c>
      <c r="K10" s="200">
        <v>2272508</v>
      </c>
      <c r="L10" s="200" t="s">
        <v>147</v>
      </c>
      <c r="M10" s="200" t="s">
        <v>148</v>
      </c>
      <c r="N10" s="200">
        <v>0</v>
      </c>
      <c r="O10" s="200" t="s">
        <v>147</v>
      </c>
      <c r="P10" s="200" t="s">
        <v>148</v>
      </c>
      <c r="Q10" s="200">
        <v>0</v>
      </c>
      <c r="R10" s="200" t="s">
        <v>147</v>
      </c>
      <c r="S10" s="200" t="s">
        <v>148</v>
      </c>
      <c r="T10" s="200">
        <v>0</v>
      </c>
      <c r="U10" s="200" t="s">
        <v>147</v>
      </c>
      <c r="V10" s="200" t="s">
        <v>148</v>
      </c>
      <c r="W10" s="200">
        <v>0</v>
      </c>
      <c r="X10" s="203"/>
      <c r="Y10" s="204">
        <v>17925725.800000001</v>
      </c>
      <c r="Z10" s="206">
        <v>42979</v>
      </c>
      <c r="AA10" s="200" t="s">
        <v>157</v>
      </c>
      <c r="AB10" s="200">
        <v>0.253</v>
      </c>
      <c r="AC10" s="200">
        <v>553</v>
      </c>
      <c r="AD10" s="200">
        <v>2.359</v>
      </c>
      <c r="AE10" s="200">
        <v>18.471</v>
      </c>
      <c r="AF10" s="200">
        <v>16.306999999999999</v>
      </c>
      <c r="AG10" s="200">
        <v>572</v>
      </c>
      <c r="AH10" s="200" t="s">
        <v>189</v>
      </c>
      <c r="AI10" s="200">
        <v>34.524999999999999</v>
      </c>
      <c r="AJ10" s="200">
        <v>28.036500190000002</v>
      </c>
      <c r="AK10" s="200">
        <v>-97.481730549999995</v>
      </c>
      <c r="AL10" s="200">
        <v>28.026575390000001</v>
      </c>
      <c r="AM10" s="200">
        <v>-97.225182630000006</v>
      </c>
      <c r="AN10" s="204">
        <f t="shared" si="0"/>
        <v>1067833.7880502772</v>
      </c>
      <c r="AO10" s="204">
        <f>AN10*(HCI!B62/HCI!B47)</f>
        <v>1129972.554152101</v>
      </c>
    </row>
    <row r="11" spans="1:43">
      <c r="A11" s="199"/>
      <c r="B11" s="200" t="s">
        <v>190</v>
      </c>
      <c r="C11" s="200" t="s">
        <v>191</v>
      </c>
      <c r="D11" s="200" t="s">
        <v>192</v>
      </c>
      <c r="E11" s="200">
        <v>5.0279999999999996</v>
      </c>
      <c r="F11" s="200"/>
      <c r="G11" s="200"/>
      <c r="H11" s="200" t="s">
        <v>193</v>
      </c>
      <c r="I11" s="200">
        <v>8</v>
      </c>
      <c r="J11" s="200" t="s">
        <v>175</v>
      </c>
      <c r="K11" s="200">
        <v>5091165</v>
      </c>
      <c r="L11" s="200" t="s">
        <v>147</v>
      </c>
      <c r="M11" s="200" t="s">
        <v>148</v>
      </c>
      <c r="N11" s="200">
        <v>0</v>
      </c>
      <c r="O11" s="200" t="s">
        <v>147</v>
      </c>
      <c r="P11" s="200" t="s">
        <v>148</v>
      </c>
      <c r="Q11" s="200">
        <v>0</v>
      </c>
      <c r="R11" s="200" t="s">
        <v>147</v>
      </c>
      <c r="S11" s="200" t="s">
        <v>148</v>
      </c>
      <c r="T11" s="200">
        <v>0</v>
      </c>
      <c r="U11" s="200" t="s">
        <v>147</v>
      </c>
      <c r="V11" s="200" t="s">
        <v>148</v>
      </c>
      <c r="W11" s="200">
        <v>0</v>
      </c>
      <c r="X11" s="203"/>
      <c r="Y11" s="204">
        <v>4345747.95</v>
      </c>
      <c r="Z11" s="206">
        <v>42887</v>
      </c>
      <c r="AA11" s="200" t="s">
        <v>157</v>
      </c>
      <c r="AB11" s="200">
        <v>1</v>
      </c>
      <c r="AC11" s="200">
        <v>526</v>
      </c>
      <c r="AD11" s="200" t="s">
        <v>189</v>
      </c>
      <c r="AE11" s="200">
        <v>61.222999999999999</v>
      </c>
      <c r="AF11" s="200">
        <v>16.599</v>
      </c>
      <c r="AG11" s="200">
        <v>540</v>
      </c>
      <c r="AH11" s="200">
        <v>1.639</v>
      </c>
      <c r="AI11" s="200">
        <v>76.822000000000003</v>
      </c>
      <c r="AJ11" s="200">
        <v>29.209748050000002</v>
      </c>
      <c r="AK11" s="200">
        <v>-97.744318820000004</v>
      </c>
      <c r="AL11" s="200">
        <v>28.998566709999999</v>
      </c>
      <c r="AM11" s="200">
        <v>-97.822424740000002</v>
      </c>
      <c r="AN11" s="204">
        <f t="shared" si="0"/>
        <v>864309.45704057289</v>
      </c>
      <c r="AO11" s="204">
        <f>AN11*(HCI!B62/HCI!B44)</f>
        <v>926757.94876916637</v>
      </c>
    </row>
    <row r="12" spans="1:43">
      <c r="A12" s="199"/>
      <c r="B12" s="200" t="s">
        <v>194</v>
      </c>
      <c r="C12" s="200" t="s">
        <v>187</v>
      </c>
      <c r="D12" s="200" t="s">
        <v>195</v>
      </c>
      <c r="E12" s="200">
        <v>12.137</v>
      </c>
      <c r="F12" s="200"/>
      <c r="G12" s="200"/>
      <c r="H12" s="200" t="s">
        <v>196</v>
      </c>
      <c r="I12" s="200">
        <v>1</v>
      </c>
      <c r="J12" s="200">
        <v>1701</v>
      </c>
      <c r="K12" s="200">
        <v>4730023</v>
      </c>
      <c r="L12" s="200">
        <v>1</v>
      </c>
      <c r="M12" s="200" t="s">
        <v>197</v>
      </c>
      <c r="N12" s="200">
        <v>8000000</v>
      </c>
      <c r="O12" s="200">
        <v>1</v>
      </c>
      <c r="P12" s="200" t="s">
        <v>198</v>
      </c>
      <c r="Q12" s="200">
        <v>484000</v>
      </c>
      <c r="R12" s="200">
        <v>4</v>
      </c>
      <c r="S12" s="200" t="s">
        <v>199</v>
      </c>
      <c r="T12" s="200">
        <v>3452000</v>
      </c>
      <c r="U12" s="200">
        <v>1</v>
      </c>
      <c r="V12" s="200">
        <v>1701</v>
      </c>
      <c r="W12" s="200">
        <v>1200000</v>
      </c>
      <c r="X12" s="203"/>
      <c r="Y12" s="204">
        <v>12110210.42</v>
      </c>
      <c r="Z12" s="206">
        <v>42736</v>
      </c>
      <c r="AA12" s="200" t="s">
        <v>200</v>
      </c>
      <c r="AB12" s="200">
        <v>0.5</v>
      </c>
      <c r="AC12" s="200">
        <v>526</v>
      </c>
      <c r="AD12" s="200" t="s">
        <v>189</v>
      </c>
      <c r="AE12" s="200">
        <v>56.509</v>
      </c>
      <c r="AF12" s="200">
        <v>13.095000000000001</v>
      </c>
      <c r="AG12" s="200">
        <v>538</v>
      </c>
      <c r="AH12" s="200">
        <v>0.59699999999999998</v>
      </c>
      <c r="AI12" s="200">
        <v>69.103999999999999</v>
      </c>
      <c r="AJ12" s="200">
        <v>29.06861164</v>
      </c>
      <c r="AK12" s="200">
        <v>-97.936590289999998</v>
      </c>
      <c r="AL12" s="200">
        <v>28.891677189999999</v>
      </c>
      <c r="AM12" s="200">
        <v>-97.893331619999998</v>
      </c>
      <c r="AN12" s="204">
        <f t="shared" si="0"/>
        <v>997792.73461316631</v>
      </c>
      <c r="AO12" s="204">
        <f>AN12*(HCI!$B$62/HCI!B39)</f>
        <v>1056818.1183305981</v>
      </c>
    </row>
    <row r="13" spans="1:43">
      <c r="A13" s="199"/>
      <c r="B13" s="200" t="s">
        <v>201</v>
      </c>
      <c r="C13" s="200" t="s">
        <v>202</v>
      </c>
      <c r="D13" s="200" t="s">
        <v>203</v>
      </c>
      <c r="E13" s="200">
        <v>7.8</v>
      </c>
      <c r="F13" s="200"/>
      <c r="G13" s="200"/>
      <c r="H13" s="200" t="s">
        <v>204</v>
      </c>
      <c r="I13" s="200"/>
      <c r="J13" s="200"/>
      <c r="K13" s="200"/>
      <c r="L13" s="200"/>
      <c r="M13" s="200"/>
      <c r="N13" s="200"/>
      <c r="O13" s="200"/>
      <c r="P13" s="200"/>
      <c r="Q13" s="200"/>
      <c r="R13" s="200"/>
      <c r="S13" s="200"/>
      <c r="T13" s="200"/>
      <c r="U13" s="200"/>
      <c r="V13" s="200"/>
      <c r="W13" s="200"/>
      <c r="X13" s="203"/>
      <c r="Y13" s="204">
        <v>11118110</v>
      </c>
      <c r="Z13" s="206">
        <v>43282</v>
      </c>
      <c r="AA13" s="200" t="s">
        <v>205</v>
      </c>
      <c r="AB13" s="200"/>
      <c r="AC13" s="200">
        <v>576</v>
      </c>
      <c r="AD13" s="200">
        <v>-2.5999999999999999E-2</v>
      </c>
      <c r="AE13" s="200">
        <v>5555</v>
      </c>
      <c r="AF13" s="200">
        <v>9.5709999999999997</v>
      </c>
      <c r="AG13" s="200">
        <v>584</v>
      </c>
      <c r="AH13" s="200">
        <v>1.617</v>
      </c>
      <c r="AI13" s="200">
        <v>9.5709999999999997</v>
      </c>
      <c r="AJ13" s="200">
        <v>28.29297506</v>
      </c>
      <c r="AK13" s="200">
        <v>-97.25268844</v>
      </c>
      <c r="AL13" s="200">
        <v>28.167292100000001</v>
      </c>
      <c r="AM13" s="200">
        <v>-97.208828960000005</v>
      </c>
      <c r="AN13" s="204">
        <f>Y13/E13</f>
        <v>1425398.717948718</v>
      </c>
      <c r="AO13" s="204">
        <f>AN13*(HCI!$B$62/HCI!B57)</f>
        <v>1462786.638043284</v>
      </c>
    </row>
    <row r="14" spans="1:43">
      <c r="A14" s="199"/>
      <c r="B14" s="200" t="s">
        <v>206</v>
      </c>
      <c r="C14" s="200" t="s">
        <v>207</v>
      </c>
      <c r="D14" s="200" t="s">
        <v>208</v>
      </c>
      <c r="E14" s="200">
        <v>7.6070000000000002</v>
      </c>
      <c r="F14" s="200"/>
      <c r="G14" s="200"/>
      <c r="H14" s="200" t="s">
        <v>204</v>
      </c>
      <c r="I14" s="200"/>
      <c r="J14" s="200"/>
      <c r="K14" s="200"/>
      <c r="L14" s="200"/>
      <c r="M14" s="200"/>
      <c r="N14" s="200"/>
      <c r="O14" s="200"/>
      <c r="P14" s="200"/>
      <c r="Q14" s="200"/>
      <c r="R14" s="200"/>
      <c r="S14" s="200"/>
      <c r="T14" s="200"/>
      <c r="U14" s="200"/>
      <c r="V14" s="200"/>
      <c r="W14" s="200"/>
      <c r="X14" s="203"/>
      <c r="Y14" s="204">
        <v>10719340</v>
      </c>
      <c r="Z14" s="206">
        <v>43405</v>
      </c>
      <c r="AA14" s="200" t="s">
        <v>200</v>
      </c>
      <c r="AB14" s="200">
        <v>2.3260000000000001</v>
      </c>
      <c r="AC14" s="200">
        <v>644</v>
      </c>
      <c r="AD14" s="200">
        <v>0.42699999999999999</v>
      </c>
      <c r="AE14" s="200">
        <v>450.601</v>
      </c>
      <c r="AF14" s="200">
        <v>17.149000000000001</v>
      </c>
      <c r="AG14" s="200">
        <v>660</v>
      </c>
      <c r="AH14" s="200" t="s">
        <v>189</v>
      </c>
      <c r="AI14" s="200">
        <v>465.42399999999998</v>
      </c>
      <c r="AJ14" s="200">
        <v>28.6353714</v>
      </c>
      <c r="AK14" s="200">
        <v>-97.383454420000007</v>
      </c>
      <c r="AL14" s="200">
        <v>28.429210520000002</v>
      </c>
      <c r="AM14" s="200">
        <v>-97.322342969999994</v>
      </c>
      <c r="AN14" s="204">
        <f>Y14/E14</f>
        <v>1409141.5801235703</v>
      </c>
      <c r="AO14" s="204">
        <f>AN14*(HCI!$B$62/HCI!B61)</f>
        <v>1427196.4752929388</v>
      </c>
    </row>
    <row r="15" spans="1:43">
      <c r="A15" s="199" t="s">
        <v>209</v>
      </c>
      <c r="B15" s="200" t="s">
        <v>209</v>
      </c>
      <c r="C15" s="202" t="s">
        <v>202</v>
      </c>
      <c r="D15" s="202" t="s">
        <v>210</v>
      </c>
      <c r="E15" s="201">
        <v>11.204000000000001</v>
      </c>
      <c r="F15" s="202" t="s">
        <v>211</v>
      </c>
      <c r="G15" s="202" t="s">
        <v>212</v>
      </c>
      <c r="H15" s="200" t="s">
        <v>213</v>
      </c>
      <c r="I15" s="201">
        <v>8</v>
      </c>
      <c r="J15" s="201">
        <v>1908</v>
      </c>
      <c r="K15" s="201">
        <v>1158794</v>
      </c>
      <c r="L15" s="201" t="s">
        <v>147</v>
      </c>
      <c r="M15" s="201" t="s">
        <v>148</v>
      </c>
      <c r="N15" s="201">
        <v>0</v>
      </c>
      <c r="O15" s="201" t="s">
        <v>147</v>
      </c>
      <c r="P15" s="201" t="s">
        <v>148</v>
      </c>
      <c r="Q15" s="201">
        <v>0</v>
      </c>
      <c r="R15" s="201" t="s">
        <v>147</v>
      </c>
      <c r="S15" s="201" t="s">
        <v>148</v>
      </c>
      <c r="T15" s="201">
        <v>0</v>
      </c>
      <c r="U15" s="201" t="s">
        <v>147</v>
      </c>
      <c r="V15" s="201" t="s">
        <v>148</v>
      </c>
      <c r="W15" s="201">
        <v>0</v>
      </c>
      <c r="X15" s="203">
        <v>2875192</v>
      </c>
      <c r="Y15" s="204">
        <v>2875192</v>
      </c>
      <c r="Z15" s="207" t="s">
        <v>214</v>
      </c>
      <c r="AA15" s="200" t="s">
        <v>157</v>
      </c>
      <c r="AB15" s="200">
        <v>2.58</v>
      </c>
      <c r="AC15" s="200">
        <v>632</v>
      </c>
      <c r="AD15" s="200">
        <v>0.6</v>
      </c>
      <c r="AE15" s="200">
        <v>156.57</v>
      </c>
      <c r="AF15" s="200">
        <v>13.784000000000001</v>
      </c>
      <c r="AG15" s="200">
        <v>644</v>
      </c>
      <c r="AH15" s="200" t="s">
        <v>189</v>
      </c>
      <c r="AI15" s="200">
        <v>167.774</v>
      </c>
      <c r="AJ15" s="200">
        <v>28.45538706</v>
      </c>
      <c r="AK15" s="200">
        <v>-96.888299860000004</v>
      </c>
      <c r="AL15" s="200">
        <v>28.297253059999999</v>
      </c>
      <c r="AM15" s="200">
        <v>-96.946149739999996</v>
      </c>
      <c r="AN15" s="204">
        <f>Y15/E15</f>
        <v>256621.92074259193</v>
      </c>
      <c r="AO15" s="204">
        <f>AN15*(HCI!$B$62/HCI!$B$78)</f>
        <v>243822.29918470306</v>
      </c>
    </row>
    <row r="16" spans="1:43">
      <c r="A16" s="199" t="s">
        <v>209</v>
      </c>
      <c r="B16" s="200" t="s">
        <v>215</v>
      </c>
      <c r="C16" s="202" t="s">
        <v>202</v>
      </c>
      <c r="D16" s="202" t="s">
        <v>216</v>
      </c>
      <c r="E16" s="201">
        <v>11.765000000000001</v>
      </c>
      <c r="F16" s="202" t="s">
        <v>217</v>
      </c>
      <c r="G16" s="202" t="s">
        <v>218</v>
      </c>
      <c r="H16" s="200" t="s">
        <v>213</v>
      </c>
      <c r="I16" s="201">
        <v>8</v>
      </c>
      <c r="J16" s="201">
        <v>1908</v>
      </c>
      <c r="K16" s="201">
        <v>1206091</v>
      </c>
      <c r="L16" s="201" t="s">
        <v>147</v>
      </c>
      <c r="M16" s="201" t="s">
        <v>148</v>
      </c>
      <c r="N16" s="201">
        <v>0</v>
      </c>
      <c r="O16" s="201" t="s">
        <v>147</v>
      </c>
      <c r="P16" s="201" t="s">
        <v>148</v>
      </c>
      <c r="Q16" s="201">
        <v>0</v>
      </c>
      <c r="R16" s="201" t="s">
        <v>147</v>
      </c>
      <c r="S16" s="201" t="s">
        <v>148</v>
      </c>
      <c r="T16" s="201">
        <v>0</v>
      </c>
      <c r="U16" s="201" t="s">
        <v>147</v>
      </c>
      <c r="V16" s="201" t="s">
        <v>148</v>
      </c>
      <c r="W16" s="201">
        <v>0</v>
      </c>
      <c r="X16" s="203">
        <v>9349913</v>
      </c>
      <c r="Y16" s="204">
        <v>9349913</v>
      </c>
      <c r="Z16" s="207" t="s">
        <v>214</v>
      </c>
      <c r="AA16" s="208" t="s">
        <v>157</v>
      </c>
      <c r="AB16" s="208"/>
      <c r="AC16" s="208">
        <v>644</v>
      </c>
      <c r="AD16" s="208" t="s">
        <v>189</v>
      </c>
      <c r="AE16" s="208">
        <v>167.774</v>
      </c>
      <c r="AF16" s="208">
        <v>11.765000000000001</v>
      </c>
      <c r="AG16" s="208">
        <v>654</v>
      </c>
      <c r="AH16" s="208">
        <v>1.7649999999999999</v>
      </c>
      <c r="AI16" s="208">
        <v>179.53899999999999</v>
      </c>
      <c r="AJ16" s="208">
        <v>28.297253059999999</v>
      </c>
      <c r="AK16" s="208">
        <v>-96.946149739999996</v>
      </c>
      <c r="AL16" s="208">
        <v>28.139735200000001</v>
      </c>
      <c r="AM16" s="208">
        <v>-97.006488709999999</v>
      </c>
      <c r="AN16" s="204">
        <f t="shared" si="0"/>
        <v>794722.73693157663</v>
      </c>
      <c r="AO16" s="204">
        <f>AN16*(HCI!$B$62/HCI!$B$78)</f>
        <v>755084.07221135905</v>
      </c>
    </row>
    <row r="17" spans="1:44">
      <c r="A17" s="199" t="s">
        <v>219</v>
      </c>
      <c r="B17" s="200" t="s">
        <v>219</v>
      </c>
      <c r="C17" s="202" t="s">
        <v>202</v>
      </c>
      <c r="D17" s="202" t="s">
        <v>220</v>
      </c>
      <c r="E17" s="201">
        <v>11.659000000000001</v>
      </c>
      <c r="F17" s="202" t="s">
        <v>221</v>
      </c>
      <c r="G17" s="202" t="s">
        <v>217</v>
      </c>
      <c r="H17" s="200" t="s">
        <v>213</v>
      </c>
      <c r="I17" s="201">
        <v>1</v>
      </c>
      <c r="J17" s="201">
        <v>1901</v>
      </c>
      <c r="K17" s="201">
        <v>9300000</v>
      </c>
      <c r="L17" s="201" t="s">
        <v>147</v>
      </c>
      <c r="M17" s="201" t="s">
        <v>148</v>
      </c>
      <c r="N17" s="201">
        <v>0</v>
      </c>
      <c r="O17" s="201" t="s">
        <v>147</v>
      </c>
      <c r="P17" s="201" t="s">
        <v>148</v>
      </c>
      <c r="Q17" s="201">
        <v>0</v>
      </c>
      <c r="R17" s="201" t="s">
        <v>147</v>
      </c>
      <c r="S17" s="201" t="s">
        <v>148</v>
      </c>
      <c r="T17" s="201">
        <v>0</v>
      </c>
      <c r="U17" s="201" t="s">
        <v>147</v>
      </c>
      <c r="V17" s="201" t="s">
        <v>148</v>
      </c>
      <c r="W17" s="201">
        <v>0</v>
      </c>
      <c r="X17" s="203">
        <v>10853261</v>
      </c>
      <c r="Y17" s="204">
        <v>10853261</v>
      </c>
      <c r="Z17" s="207" t="s">
        <v>214</v>
      </c>
      <c r="AA17" s="200" t="s">
        <v>205</v>
      </c>
      <c r="AB17" s="200"/>
      <c r="AC17" s="200">
        <v>644</v>
      </c>
      <c r="AD17" s="200" t="s">
        <v>189</v>
      </c>
      <c r="AE17" s="200">
        <v>167.774</v>
      </c>
      <c r="AF17" s="200">
        <v>11.659000000000001</v>
      </c>
      <c r="AG17" s="200">
        <v>654</v>
      </c>
      <c r="AH17" s="200">
        <v>1.659</v>
      </c>
      <c r="AI17" s="200">
        <v>179.43299999999999</v>
      </c>
      <c r="AJ17" s="200">
        <v>28.29686061</v>
      </c>
      <c r="AK17" s="200">
        <v>-96.946404549999997</v>
      </c>
      <c r="AL17" s="200">
        <v>28.139853049999999</v>
      </c>
      <c r="AM17" s="200">
        <v>-97.006528950000003</v>
      </c>
      <c r="AN17" s="204">
        <f t="shared" si="0"/>
        <v>930891.24281670805</v>
      </c>
      <c r="AO17" s="204">
        <f>AN17*(HCI!$B$62/HCI!$B$78)</f>
        <v>884460.85376370791</v>
      </c>
    </row>
    <row r="18" spans="1:44">
      <c r="A18" s="199" t="s">
        <v>222</v>
      </c>
      <c r="B18" s="200" t="s">
        <v>222</v>
      </c>
      <c r="C18" s="202" t="s">
        <v>159</v>
      </c>
      <c r="D18" s="202" t="s">
        <v>160</v>
      </c>
      <c r="E18" s="201">
        <v>6.9160000000000004</v>
      </c>
      <c r="F18" s="202" t="s">
        <v>162</v>
      </c>
      <c r="G18" s="202" t="s">
        <v>223</v>
      </c>
      <c r="H18" s="200" t="s">
        <v>163</v>
      </c>
      <c r="I18" s="201">
        <v>1</v>
      </c>
      <c r="J18" s="201">
        <v>1901</v>
      </c>
      <c r="K18" s="201">
        <v>9000000</v>
      </c>
      <c r="L18" s="201" t="s">
        <v>147</v>
      </c>
      <c r="M18" s="201" t="s">
        <v>148</v>
      </c>
      <c r="N18" s="201">
        <v>0</v>
      </c>
      <c r="O18" s="201" t="s">
        <v>147</v>
      </c>
      <c r="P18" s="201" t="s">
        <v>148</v>
      </c>
      <c r="Q18" s="201">
        <v>0</v>
      </c>
      <c r="R18" s="201" t="s">
        <v>147</v>
      </c>
      <c r="S18" s="201" t="s">
        <v>148</v>
      </c>
      <c r="T18" s="201">
        <v>0</v>
      </c>
      <c r="U18" s="201" t="s">
        <v>147</v>
      </c>
      <c r="V18" s="201" t="s">
        <v>148</v>
      </c>
      <c r="W18" s="201">
        <v>0</v>
      </c>
      <c r="X18" s="203">
        <v>4653515</v>
      </c>
      <c r="Y18" s="204">
        <v>4653515</v>
      </c>
      <c r="Z18" s="207" t="s">
        <v>214</v>
      </c>
      <c r="AA18" s="200" t="s">
        <v>200</v>
      </c>
      <c r="AB18" s="200">
        <v>6.7279999999999998</v>
      </c>
      <c r="AC18" s="200">
        <v>530</v>
      </c>
      <c r="AD18" s="200">
        <v>1.698</v>
      </c>
      <c r="AE18" s="200">
        <v>66.950999999999993</v>
      </c>
      <c r="AF18" s="200">
        <v>13.644</v>
      </c>
      <c r="AG18" s="200">
        <v>538</v>
      </c>
      <c r="AH18" s="200">
        <v>0.70299999999999996</v>
      </c>
      <c r="AI18" s="200">
        <v>73.867000000000004</v>
      </c>
      <c r="AJ18" s="200">
        <v>29.036725000000001</v>
      </c>
      <c r="AK18" s="200">
        <v>-97.806417999999994</v>
      </c>
      <c r="AL18" s="200">
        <v>29.134142000000001</v>
      </c>
      <c r="AM18" s="200">
        <v>-97.782156999999998</v>
      </c>
      <c r="AN18" s="204">
        <f t="shared" si="0"/>
        <v>672862.20358588779</v>
      </c>
      <c r="AO18" s="204">
        <f>AN18*(HCI!$B$62/HCI!$B$78)</f>
        <v>639301.61943319847</v>
      </c>
    </row>
    <row r="19" spans="1:44">
      <c r="A19" s="199" t="s">
        <v>224</v>
      </c>
      <c r="B19" s="200" t="s">
        <v>224</v>
      </c>
      <c r="C19" s="202" t="s">
        <v>159</v>
      </c>
      <c r="D19" s="201" t="s">
        <v>160</v>
      </c>
      <c r="E19" s="201">
        <v>13.784000000000001</v>
      </c>
      <c r="F19" s="202" t="s">
        <v>225</v>
      </c>
      <c r="G19" s="202" t="s">
        <v>161</v>
      </c>
      <c r="H19" s="200" t="s">
        <v>163</v>
      </c>
      <c r="I19" s="201">
        <v>1</v>
      </c>
      <c r="J19" s="201">
        <v>2101</v>
      </c>
      <c r="K19" s="201">
        <v>9000000</v>
      </c>
      <c r="L19" s="201" t="s">
        <v>147</v>
      </c>
      <c r="M19" s="201" t="s">
        <v>148</v>
      </c>
      <c r="N19" s="201">
        <v>0</v>
      </c>
      <c r="O19" s="201" t="s">
        <v>147</v>
      </c>
      <c r="P19" s="201" t="s">
        <v>148</v>
      </c>
      <c r="Q19" s="201">
        <v>0</v>
      </c>
      <c r="R19" s="201" t="s">
        <v>147</v>
      </c>
      <c r="S19" s="201" t="s">
        <v>148</v>
      </c>
      <c r="T19" s="201">
        <v>0</v>
      </c>
      <c r="U19" s="201" t="s">
        <v>147</v>
      </c>
      <c r="V19" s="201" t="s">
        <v>148</v>
      </c>
      <c r="W19" s="201">
        <v>0</v>
      </c>
      <c r="X19" s="203">
        <v>4429335</v>
      </c>
      <c r="Y19" s="204">
        <v>4429335</v>
      </c>
      <c r="Z19" s="207" t="s">
        <v>226</v>
      </c>
      <c r="AA19" s="200" t="s">
        <v>205</v>
      </c>
      <c r="AB19" s="200"/>
      <c r="AC19" s="200">
        <v>628</v>
      </c>
      <c r="AD19" s="200">
        <v>1.891</v>
      </c>
      <c r="AE19" s="200">
        <v>153.99</v>
      </c>
      <c r="AF19" s="200">
        <v>13.784000000000001</v>
      </c>
      <c r="AG19" s="200">
        <v>644</v>
      </c>
      <c r="AH19" s="200" t="s">
        <v>189</v>
      </c>
      <c r="AI19" s="200">
        <v>167.774</v>
      </c>
      <c r="AJ19" s="200">
        <v>28.47808393</v>
      </c>
      <c r="AK19" s="200">
        <v>-96.862603800000002</v>
      </c>
      <c r="AL19" s="200">
        <v>28.29686061</v>
      </c>
      <c r="AM19" s="200">
        <v>-96.946404549999997</v>
      </c>
      <c r="AN19" s="204">
        <f t="shared" si="0"/>
        <v>321338.87115496228</v>
      </c>
      <c r="AO19" s="204">
        <f>AN19*(HCI!$B$62/HCI!$B$78)</f>
        <v>305311.33956015226</v>
      </c>
    </row>
    <row r="20" spans="1:44">
      <c r="A20" s="199"/>
      <c r="B20" s="200" t="s">
        <v>227</v>
      </c>
      <c r="C20" s="200" t="s">
        <v>228</v>
      </c>
      <c r="D20" s="200" t="s">
        <v>229</v>
      </c>
      <c r="E20" s="200">
        <v>2.72</v>
      </c>
      <c r="F20" s="200"/>
      <c r="G20" s="200"/>
      <c r="H20" s="200" t="s">
        <v>230</v>
      </c>
      <c r="I20" s="200"/>
      <c r="J20" s="200"/>
      <c r="K20" s="200"/>
      <c r="L20" s="200"/>
      <c r="M20" s="200"/>
      <c r="N20" s="200"/>
      <c r="O20" s="200"/>
      <c r="P20" s="200"/>
      <c r="Q20" s="200"/>
      <c r="R20" s="200"/>
      <c r="S20" s="200"/>
      <c r="T20" s="200"/>
      <c r="U20" s="200"/>
      <c r="V20" s="200"/>
      <c r="W20" s="200"/>
      <c r="X20" s="203"/>
      <c r="Y20" s="204">
        <v>4885972</v>
      </c>
      <c r="Z20" s="209">
        <v>43952</v>
      </c>
      <c r="AA20" s="200" t="s">
        <v>200</v>
      </c>
      <c r="AB20" s="200"/>
      <c r="AC20" s="200">
        <v>632</v>
      </c>
      <c r="AD20" s="200">
        <v>1.1950000000000001</v>
      </c>
      <c r="AE20" s="200">
        <v>439.36900000000003</v>
      </c>
      <c r="AF20" s="200">
        <v>8.9060000000000006</v>
      </c>
      <c r="AG20" s="200">
        <v>642</v>
      </c>
      <c r="AH20" s="200">
        <v>0.14299999999999999</v>
      </c>
      <c r="AI20" s="200">
        <v>448.27499999999998</v>
      </c>
      <c r="AJ20" s="200">
        <v>28.798828270000001</v>
      </c>
      <c r="AK20" s="200">
        <v>-97.387016389999999</v>
      </c>
      <c r="AL20" s="200">
        <v>28.668211230000001</v>
      </c>
      <c r="AM20" s="200">
        <v>-97.38877592</v>
      </c>
      <c r="AN20" s="204">
        <f t="shared" si="0"/>
        <v>1796313.2352941176</v>
      </c>
      <c r="AO20" s="204">
        <f>AN20*(HCI!$B$62/HCI!$B$78)</f>
        <v>1706717.8899523832</v>
      </c>
    </row>
    <row r="21" spans="1:44">
      <c r="A21" s="199"/>
      <c r="B21" s="200" t="s">
        <v>423</v>
      </c>
      <c r="C21" s="200" t="s">
        <v>421</v>
      </c>
      <c r="D21" s="200" t="s">
        <v>422</v>
      </c>
      <c r="E21" s="200">
        <v>9.1039999999999992</v>
      </c>
      <c r="F21" s="200"/>
      <c r="G21" s="200"/>
      <c r="H21" s="200" t="s">
        <v>424</v>
      </c>
      <c r="I21" s="200"/>
      <c r="J21" s="200"/>
      <c r="K21" s="200"/>
      <c r="L21" s="200"/>
      <c r="M21" s="200"/>
      <c r="N21" s="200"/>
      <c r="O21" s="200"/>
      <c r="P21" s="200"/>
      <c r="Q21" s="200"/>
      <c r="R21" s="200"/>
      <c r="S21" s="200"/>
      <c r="T21" s="200"/>
      <c r="U21" s="200"/>
      <c r="V21" s="200"/>
      <c r="W21" s="200"/>
      <c r="X21" s="203"/>
      <c r="Y21" s="204">
        <v>4709581</v>
      </c>
      <c r="Z21" s="209">
        <v>43586</v>
      </c>
      <c r="AA21" s="200"/>
      <c r="AB21" s="200"/>
      <c r="AC21" s="200"/>
      <c r="AD21" s="200"/>
      <c r="AE21" s="200"/>
      <c r="AF21" s="200"/>
      <c r="AG21" s="200"/>
      <c r="AH21" s="200"/>
      <c r="AI21" s="200"/>
      <c r="AJ21" s="200"/>
      <c r="AK21" s="200"/>
      <c r="AL21" s="200"/>
      <c r="AM21" s="200"/>
      <c r="AN21" s="204">
        <f t="shared" si="0"/>
        <v>517308.98506151146</v>
      </c>
      <c r="AO21" s="204">
        <f>AN21*(HCI!$B$62/HCI!$B$67)</f>
        <v>498724.83252424817</v>
      </c>
      <c r="AP21" s="210">
        <f>AVERAGE(AO5:AO21)</f>
        <v>1013640.2353071577</v>
      </c>
      <c r="AQ21" s="210">
        <f>MEDIAN(AO5:AO21)</f>
        <v>955502.27707999467</v>
      </c>
      <c r="AR21" s="5" t="s">
        <v>324</v>
      </c>
    </row>
    <row r="22" spans="1:44">
      <c r="A22" s="211"/>
      <c r="B22" s="211" t="s">
        <v>231</v>
      </c>
      <c r="C22" s="211" t="s">
        <v>232</v>
      </c>
      <c r="D22" s="211" t="s">
        <v>233</v>
      </c>
      <c r="E22" s="211">
        <v>9.2929999999999993</v>
      </c>
      <c r="F22" s="211"/>
      <c r="G22" s="211"/>
      <c r="H22" s="211" t="s">
        <v>234</v>
      </c>
      <c r="I22" s="211"/>
      <c r="J22" s="211"/>
      <c r="K22" s="211"/>
      <c r="L22" s="211"/>
      <c r="M22" s="211"/>
      <c r="N22" s="211"/>
      <c r="O22" s="211"/>
      <c r="P22" s="211"/>
      <c r="Q22" s="211"/>
      <c r="R22" s="211"/>
      <c r="S22" s="211"/>
      <c r="T22" s="211"/>
      <c r="U22" s="211"/>
      <c r="V22" s="211"/>
      <c r="W22" s="211"/>
      <c r="X22" s="212"/>
      <c r="Y22" s="213">
        <v>59706128</v>
      </c>
      <c r="Z22" s="214">
        <v>43952</v>
      </c>
      <c r="AA22" s="211" t="s">
        <v>200</v>
      </c>
      <c r="AB22" s="211"/>
      <c r="AC22" s="211">
        <v>660</v>
      </c>
      <c r="AD22" s="211" t="s">
        <v>189</v>
      </c>
      <c r="AE22" s="211">
        <v>465.42399999999998</v>
      </c>
      <c r="AF22" s="211">
        <v>6.9139999999999997</v>
      </c>
      <c r="AG22" s="211">
        <v>666</v>
      </c>
      <c r="AH22" s="211">
        <v>0.90500000000000003</v>
      </c>
      <c r="AI22" s="211">
        <v>472.33800000000002</v>
      </c>
      <c r="AJ22" s="211">
        <v>28.429215020000001</v>
      </c>
      <c r="AK22" s="211">
        <v>-97.322342969999994</v>
      </c>
      <c r="AL22" s="211">
        <v>28.335951680000001</v>
      </c>
      <c r="AM22" s="211">
        <v>-97.281916710000004</v>
      </c>
      <c r="AN22" s="213">
        <f>Y22/E22</f>
        <v>6424849.6717959763</v>
      </c>
      <c r="AO22" s="213">
        <f>AN22*(HCI!$B$62/HCI!$B$78)</f>
        <v>6104395.1910277391</v>
      </c>
    </row>
    <row r="23" spans="1:44">
      <c r="A23" s="211"/>
      <c r="B23" s="211" t="s">
        <v>235</v>
      </c>
      <c r="C23" s="211"/>
      <c r="D23" s="211" t="s">
        <v>233</v>
      </c>
      <c r="E23" s="211"/>
      <c r="F23" s="211"/>
      <c r="G23" s="211"/>
      <c r="H23" s="211" t="s">
        <v>236</v>
      </c>
      <c r="I23" s="211"/>
      <c r="J23" s="211"/>
      <c r="K23" s="211"/>
      <c r="L23" s="211"/>
      <c r="M23" s="211"/>
      <c r="N23" s="211"/>
      <c r="O23" s="211"/>
      <c r="P23" s="211"/>
      <c r="Q23" s="211"/>
      <c r="R23" s="211"/>
      <c r="S23" s="211"/>
      <c r="T23" s="211"/>
      <c r="U23" s="211"/>
      <c r="V23" s="211"/>
      <c r="W23" s="211"/>
      <c r="X23" s="212"/>
      <c r="Y23" s="213"/>
      <c r="Z23" s="215"/>
      <c r="AA23" s="211" t="s">
        <v>237</v>
      </c>
      <c r="AB23" s="211"/>
      <c r="AC23" s="211">
        <v>540</v>
      </c>
      <c r="AD23" s="211">
        <v>1.988</v>
      </c>
      <c r="AE23" s="211">
        <v>21.661000000000001</v>
      </c>
      <c r="AF23" s="211">
        <v>6.17</v>
      </c>
      <c r="AG23" s="211">
        <v>548</v>
      </c>
      <c r="AH23" s="211">
        <v>5.8000000000000003E-2</v>
      </c>
      <c r="AI23" s="211">
        <v>27.831</v>
      </c>
      <c r="AJ23" s="211">
        <v>27.67439031</v>
      </c>
      <c r="AK23" s="211">
        <v>-97.748326719999994</v>
      </c>
      <c r="AL23" s="211">
        <v>27.67226196</v>
      </c>
      <c r="AM23" s="211">
        <v>-97.651938860000001</v>
      </c>
      <c r="AN23" s="213"/>
      <c r="AO23" s="213"/>
    </row>
    <row r="24" spans="1:44">
      <c r="A24" s="211"/>
      <c r="B24" s="211" t="s">
        <v>238</v>
      </c>
      <c r="C24" s="211" t="s">
        <v>232</v>
      </c>
      <c r="D24" s="211" t="s">
        <v>233</v>
      </c>
      <c r="E24" s="211">
        <v>7</v>
      </c>
      <c r="F24" s="211"/>
      <c r="G24" s="211"/>
      <c r="H24" s="211" t="s">
        <v>236</v>
      </c>
      <c r="I24" s="211"/>
      <c r="J24" s="211"/>
      <c r="K24" s="211"/>
      <c r="L24" s="211"/>
      <c r="M24" s="211"/>
      <c r="N24" s="211"/>
      <c r="O24" s="211"/>
      <c r="P24" s="211"/>
      <c r="Q24" s="211"/>
      <c r="R24" s="211"/>
      <c r="S24" s="211"/>
      <c r="T24" s="211"/>
      <c r="U24" s="211"/>
      <c r="V24" s="211"/>
      <c r="W24" s="211"/>
      <c r="X24" s="212"/>
      <c r="Y24" s="213">
        <v>37447955</v>
      </c>
      <c r="Z24" s="214">
        <v>43952</v>
      </c>
      <c r="AA24" s="211" t="s">
        <v>200</v>
      </c>
      <c r="AB24" s="211"/>
      <c r="AC24" s="211">
        <v>624</v>
      </c>
      <c r="AD24" s="211">
        <v>0.20599999999999999</v>
      </c>
      <c r="AE24" s="211">
        <v>432.26900000000001</v>
      </c>
      <c r="AF24" s="211">
        <v>7.1</v>
      </c>
      <c r="AG24" s="211">
        <v>632</v>
      </c>
      <c r="AH24" s="211">
        <v>1.1950000000000001</v>
      </c>
      <c r="AI24" s="211">
        <v>439.36900000000003</v>
      </c>
      <c r="AJ24" s="211">
        <v>28.89750098</v>
      </c>
      <c r="AK24" s="211">
        <v>-97.387016389999999</v>
      </c>
      <c r="AL24" s="211">
        <v>28.798828270000001</v>
      </c>
      <c r="AM24" s="211">
        <v>-97.387016389999999</v>
      </c>
      <c r="AN24" s="213">
        <f>Y24/E24</f>
        <v>5349707.8571428573</v>
      </c>
      <c r="AO24" s="213">
        <f>AN24*(HCI!$B$62/HCI!$B$78)</f>
        <v>5082878.6017988557</v>
      </c>
    </row>
    <row r="25" spans="1:44">
      <c r="A25" s="211"/>
      <c r="B25" s="211" t="s">
        <v>239</v>
      </c>
      <c r="C25" s="211" t="s">
        <v>187</v>
      </c>
      <c r="D25" s="211" t="s">
        <v>195</v>
      </c>
      <c r="E25" s="211">
        <v>1.7290000000000001</v>
      </c>
      <c r="F25" s="211"/>
      <c r="G25" s="211"/>
      <c r="H25" s="211" t="s">
        <v>240</v>
      </c>
      <c r="I25" s="211">
        <v>4</v>
      </c>
      <c r="J25" s="211" t="s">
        <v>241</v>
      </c>
      <c r="K25" s="211">
        <v>6542667</v>
      </c>
      <c r="L25" s="211">
        <v>1</v>
      </c>
      <c r="M25" s="211">
        <v>1601</v>
      </c>
      <c r="N25" s="211">
        <v>1</v>
      </c>
      <c r="O25" s="211" t="s">
        <v>147</v>
      </c>
      <c r="P25" s="211" t="s">
        <v>148</v>
      </c>
      <c r="Q25" s="211">
        <v>0</v>
      </c>
      <c r="R25" s="211" t="s">
        <v>147</v>
      </c>
      <c r="S25" s="211" t="s">
        <v>148</v>
      </c>
      <c r="T25" s="211">
        <v>0</v>
      </c>
      <c r="U25" s="211" t="s">
        <v>147</v>
      </c>
      <c r="V25" s="211" t="s">
        <v>148</v>
      </c>
      <c r="W25" s="211">
        <v>0</v>
      </c>
      <c r="X25" s="212"/>
      <c r="Y25" s="213">
        <v>3203871.95</v>
      </c>
      <c r="Z25" s="216">
        <v>42767</v>
      </c>
      <c r="AA25" s="211" t="s">
        <v>149</v>
      </c>
      <c r="AB25" s="211">
        <v>12.742000000000001</v>
      </c>
      <c r="AC25" s="211">
        <v>624</v>
      </c>
      <c r="AD25" s="211">
        <v>0.71099999999999997</v>
      </c>
      <c r="AE25" s="211">
        <v>20.526</v>
      </c>
      <c r="AF25" s="211">
        <v>21.065999999999999</v>
      </c>
      <c r="AG25" s="211">
        <v>632</v>
      </c>
      <c r="AH25" s="211">
        <v>1.1020000000000001</v>
      </c>
      <c r="AI25" s="211">
        <v>28.85</v>
      </c>
      <c r="AJ25" s="211">
        <v>27.794686080000002</v>
      </c>
      <c r="AK25" s="211">
        <v>-97.092233519999994</v>
      </c>
      <c r="AL25" s="211">
        <v>27.69256262</v>
      </c>
      <c r="AM25" s="211">
        <v>-97.163290599999996</v>
      </c>
      <c r="AN25" s="213">
        <f>Y25/E25</f>
        <v>1853020.2139965298</v>
      </c>
      <c r="AO25" s="213">
        <f>AN25*(HCI!B62/HCI!B40)</f>
        <v>1977235.5267805029</v>
      </c>
      <c r="AP25" s="217">
        <f>AVERAGE(AO22:AO25)</f>
        <v>4388169.7732023662</v>
      </c>
      <c r="AQ25" s="217">
        <f>MEDIAN(AO22:AO25)</f>
        <v>5082878.6017988557</v>
      </c>
      <c r="AR25" s="1" t="s">
        <v>325</v>
      </c>
    </row>
    <row r="26" spans="1:44">
      <c r="A26" s="218"/>
      <c r="B26" s="218" t="s">
        <v>242</v>
      </c>
      <c r="C26" s="218" t="s">
        <v>218</v>
      </c>
      <c r="D26" s="218" t="s">
        <v>243</v>
      </c>
      <c r="E26" s="218">
        <v>1.643</v>
      </c>
      <c r="F26" s="218"/>
      <c r="G26" s="218"/>
      <c r="H26" s="218" t="s">
        <v>244</v>
      </c>
      <c r="I26" s="218">
        <v>8</v>
      </c>
      <c r="J26" s="218" t="s">
        <v>175</v>
      </c>
      <c r="K26" s="218">
        <v>3120392</v>
      </c>
      <c r="L26" s="218" t="s">
        <v>147</v>
      </c>
      <c r="M26" s="218" t="s">
        <v>148</v>
      </c>
      <c r="N26" s="218">
        <v>0</v>
      </c>
      <c r="O26" s="218" t="s">
        <v>147</v>
      </c>
      <c r="P26" s="218" t="s">
        <v>148</v>
      </c>
      <c r="Q26" s="218">
        <v>0</v>
      </c>
      <c r="R26" s="218" t="s">
        <v>147</v>
      </c>
      <c r="S26" s="218" t="s">
        <v>148</v>
      </c>
      <c r="T26" s="218">
        <v>0</v>
      </c>
      <c r="U26" s="218" t="s">
        <v>147</v>
      </c>
      <c r="V26" s="218" t="s">
        <v>148</v>
      </c>
      <c r="W26" s="218">
        <v>0</v>
      </c>
      <c r="X26" s="219"/>
      <c r="Y26" s="220">
        <v>10961080.1</v>
      </c>
      <c r="Z26" s="221">
        <v>43604</v>
      </c>
      <c r="AA26" s="218" t="s">
        <v>157</v>
      </c>
      <c r="AB26" s="218">
        <v>15.599</v>
      </c>
      <c r="AC26" s="218">
        <v>540</v>
      </c>
      <c r="AD26" s="218">
        <v>1.639</v>
      </c>
      <c r="AE26" s="218">
        <v>76.822000000000003</v>
      </c>
      <c r="AF26" s="218">
        <v>25.152000000000001</v>
      </c>
      <c r="AG26" s="218">
        <v>550</v>
      </c>
      <c r="AH26" s="218">
        <v>1.117</v>
      </c>
      <c r="AI26" s="218">
        <v>86.375</v>
      </c>
      <c r="AJ26" s="218">
        <v>28.998566709999999</v>
      </c>
      <c r="AK26" s="218">
        <v>-97.822424740000002</v>
      </c>
      <c r="AL26" s="218">
        <v>28.891461140000001</v>
      </c>
      <c r="AM26" s="218">
        <v>-97.893235059999995</v>
      </c>
      <c r="AN26" s="220">
        <f>Y26/E26</f>
        <v>6671381.6798539255</v>
      </c>
      <c r="AO26" s="220">
        <f>AN26*(HCI!B62/HCI!B67)</f>
        <v>6431714.520858095</v>
      </c>
      <c r="AP26" s="222">
        <f>AO26</f>
        <v>6431714.520858095</v>
      </c>
      <c r="AQ26" s="222">
        <f>AP26</f>
        <v>6431714.520858095</v>
      </c>
      <c r="AR26" s="1" t="s">
        <v>326</v>
      </c>
    </row>
    <row r="27" spans="1:44">
      <c r="A27" s="223"/>
      <c r="B27" s="156"/>
      <c r="C27" s="156"/>
      <c r="D27" s="156"/>
      <c r="E27" s="156"/>
      <c r="F27" s="156"/>
      <c r="G27" s="156"/>
      <c r="H27" s="156"/>
      <c r="I27" s="156"/>
      <c r="J27" s="156"/>
      <c r="K27" s="156"/>
      <c r="L27" s="156"/>
      <c r="M27" s="156"/>
      <c r="N27" s="156"/>
      <c r="O27" s="156"/>
      <c r="P27" s="156"/>
      <c r="Q27" s="156"/>
      <c r="R27" s="156"/>
      <c r="S27" s="156"/>
      <c r="T27" s="156"/>
      <c r="U27" s="156"/>
      <c r="V27" s="156"/>
      <c r="W27" s="156"/>
      <c r="X27" s="224"/>
      <c r="Y27" s="224"/>
      <c r="Z27" s="225"/>
      <c r="AA27" s="156" t="s">
        <v>237</v>
      </c>
      <c r="AB27" s="156"/>
      <c r="AC27" s="156">
        <v>530</v>
      </c>
      <c r="AD27" s="156">
        <v>8.0000000000000002E-3</v>
      </c>
      <c r="AE27" s="156">
        <v>9.67</v>
      </c>
      <c r="AF27" s="156">
        <v>6.6</v>
      </c>
      <c r="AG27" s="156">
        <v>536</v>
      </c>
      <c r="AH27" s="156">
        <v>0.65400000000000003</v>
      </c>
      <c r="AI27" s="156">
        <v>16.27</v>
      </c>
      <c r="AJ27" s="156">
        <v>27.718743610000001</v>
      </c>
      <c r="AK27" s="156">
        <v>-97.936658050000005</v>
      </c>
      <c r="AL27" s="156">
        <v>27.697913419999999</v>
      </c>
      <c r="AM27" s="156">
        <v>-97.832483710000005</v>
      </c>
      <c r="AN27" s="224"/>
      <c r="AO27" s="224"/>
      <c r="AR27" s="1" t="s">
        <v>327</v>
      </c>
    </row>
  </sheetData>
  <autoFilter ref="B1:AM27" xr:uid="{00000000-0009-0000-0000-000008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3DFD53A8C8341B8D2DBA9DE88B5E9" ma:contentTypeVersion="11" ma:contentTypeDescription="Create a new document." ma:contentTypeScope="" ma:versionID="0693e684c5b0d7e892c20736b350eb60">
  <xsd:schema xmlns:xsd="http://www.w3.org/2001/XMLSchema" xmlns:xs="http://www.w3.org/2001/XMLSchema" xmlns:p="http://schemas.microsoft.com/office/2006/metadata/properties" xmlns:ns2="696ad453-42e5-4884-9aaf-294c85d829c4" xmlns:ns3="73905da8-2143-4a88-bf93-a7fe270bc64f" targetNamespace="http://schemas.microsoft.com/office/2006/metadata/properties" ma:root="true" ma:fieldsID="ecd521a22f4f687f18ce46f523a15258" ns2:_="" ns3:_="">
    <xsd:import namespace="696ad453-42e5-4884-9aaf-294c85d829c4"/>
    <xsd:import namespace="73905da8-2143-4a88-bf93-a7fe270bc6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6ad453-42e5-4884-9aaf-294c85d829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905da8-2143-4a88-bf93-a7fe270bc64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C07EB4-37A2-41A4-A37A-1CB6C43A88B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EAA28FE-A0A4-43E9-A35B-2630888FC267}">
  <ds:schemaRefs>
    <ds:schemaRef ds:uri="http://schemas.microsoft.com/sharepoint/v3/contenttype/forms"/>
  </ds:schemaRefs>
</ds:datastoreItem>
</file>

<file path=customXml/itemProps3.xml><?xml version="1.0" encoding="utf-8"?>
<ds:datastoreItem xmlns:ds="http://schemas.openxmlformats.org/officeDocument/2006/customXml" ds:itemID="{CF2783D4-239B-44E7-9A37-959331439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6ad453-42e5-4884-9aaf-294c85d829c4"/>
    <ds:schemaRef ds:uri="73905da8-2143-4a88-bf93-a7fe270bc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Inputs and Results</vt:lpstr>
      <vt:lpstr>BCA Summary</vt:lpstr>
      <vt:lpstr>Discounting</vt:lpstr>
      <vt:lpstr>Benefits</vt:lpstr>
      <vt:lpstr>Travel Impacts</vt:lpstr>
      <vt:lpstr>Safety</vt:lpstr>
      <vt:lpstr>Defaults</vt:lpstr>
      <vt:lpstr>NetworkPerformanceData</vt:lpstr>
      <vt:lpstr>Project Costs</vt:lpstr>
      <vt:lpstr>HCI</vt:lpstr>
    </vt:vector>
  </TitlesOfParts>
  <Company>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Steadman, Max</dc:creator>
  <cp:lastModifiedBy>Dawn Herring</cp:lastModifiedBy>
  <cp:lastPrinted>2014-12-19T15:20:16Z</cp:lastPrinted>
  <dcterms:created xsi:type="dcterms:W3CDTF">2014-10-17T13:41:54Z</dcterms:created>
  <dcterms:modified xsi:type="dcterms:W3CDTF">2021-08-04T20:27:05Z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0x0101000553DFD53A8C8341B8D2DBA9DE88B5E9</vt:lpwstr>
  </property>
</Properties>
</file>